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basilic\"/>
    </mc:Choice>
  </mc:AlternateContent>
  <xr:revisionPtr revIDLastSave="0" documentId="13_ncr:1_{FD8180BF-68C0-4F2E-B8C2-3C5166268D80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58" i="1"/>
  <c r="G52" i="1"/>
  <c r="G7" i="1"/>
  <c r="N76" i="1"/>
  <c r="N75" i="1"/>
  <c r="N74" i="1"/>
  <c r="N73" i="1"/>
  <c r="N72" i="1"/>
  <c r="N71" i="1"/>
  <c r="N70" i="1"/>
  <c r="N69" i="1"/>
  <c r="N68" i="1"/>
  <c r="N67" i="1"/>
  <c r="N66" i="1"/>
  <c r="N61" i="1"/>
  <c r="J8" i="1"/>
  <c r="K8" i="1"/>
  <c r="L8" i="1"/>
  <c r="M8" i="1"/>
  <c r="N8" i="1"/>
  <c r="N14" i="1"/>
  <c r="M7" i="1"/>
  <c r="N7" i="1"/>
  <c r="G57" i="1"/>
  <c r="G56" i="1"/>
  <c r="G55" i="1"/>
  <c r="G54" i="1"/>
  <c r="F48" i="1"/>
  <c r="C18" i="2"/>
  <c r="B18" i="2"/>
  <c r="F47" i="1"/>
  <c r="G47" i="1"/>
  <c r="G44" i="1"/>
  <c r="G43" i="1"/>
  <c r="G38" i="1"/>
  <c r="G34" i="1"/>
  <c r="G35" i="1"/>
  <c r="F35" i="1"/>
  <c r="G30" i="1"/>
  <c r="G29" i="1"/>
  <c r="G26" i="1"/>
  <c r="G14" i="1"/>
  <c r="G13" i="1"/>
  <c r="F14" i="1"/>
  <c r="F7" i="1"/>
  <c r="G25" i="1"/>
  <c r="F25" i="1"/>
  <c r="G10" i="2"/>
  <c r="E14" i="2"/>
  <c r="E11" i="2"/>
  <c r="B14" i="2"/>
  <c r="C8" i="2"/>
  <c r="B8" i="2"/>
  <c r="B4" i="2"/>
  <c r="N56" i="1"/>
  <c r="G6" i="1"/>
  <c r="M66" i="1"/>
  <c r="L66" i="1"/>
  <c r="L68" i="1" s="1"/>
  <c r="K66" i="1"/>
  <c r="J66" i="1"/>
  <c r="C56" i="1"/>
  <c r="D55" i="1"/>
  <c r="F55" i="1"/>
  <c r="E55" i="1"/>
  <c r="C55" i="1"/>
  <c r="N40" i="1"/>
  <c r="N12" i="1"/>
  <c r="M68" i="1" l="1"/>
  <c r="D34" i="1" l="1"/>
  <c r="D11" i="1"/>
  <c r="E34" i="1"/>
  <c r="E6" i="1"/>
  <c r="F34" i="1"/>
  <c r="F11" i="1"/>
  <c r="G11" i="1"/>
  <c r="J7" i="1"/>
  <c r="D18" i="1" l="1"/>
  <c r="D20" i="1" s="1"/>
  <c r="K75" i="1"/>
  <c r="M75" i="1"/>
  <c r="D12" i="1"/>
  <c r="D23" i="1"/>
  <c r="D22" i="1"/>
  <c r="F12" i="1"/>
  <c r="G12" i="1"/>
  <c r="D28" i="1" l="1"/>
  <c r="D24" i="1"/>
  <c r="D43" i="1"/>
  <c r="E43" i="1"/>
  <c r="F43" i="1"/>
  <c r="C43" i="1"/>
  <c r="C44" i="1" s="1"/>
  <c r="D38" i="1" s="1"/>
  <c r="C11" i="1"/>
  <c r="C47" i="1"/>
  <c r="F56" i="1"/>
  <c r="E56" i="1"/>
  <c r="L12" i="1"/>
  <c r="L7" i="1"/>
  <c r="M56" i="1"/>
  <c r="M40" i="1"/>
  <c r="M12" i="1"/>
  <c r="D56" i="1"/>
  <c r="E11" i="1"/>
  <c r="F6" i="1"/>
  <c r="L74" i="1" l="1"/>
  <c r="L73" i="1"/>
  <c r="M74" i="1"/>
  <c r="L14" i="1"/>
  <c r="L72" i="1" s="1"/>
  <c r="J75" i="1"/>
  <c r="L75" i="1"/>
  <c r="C12" i="1"/>
  <c r="D13" i="1"/>
  <c r="F13" i="1"/>
  <c r="E12" i="1"/>
  <c r="E13" i="1"/>
  <c r="M14" i="1"/>
  <c r="M72" i="1" s="1"/>
  <c r="C18" i="1"/>
  <c r="C20" i="1" s="1"/>
  <c r="C22" i="1" s="1"/>
  <c r="M58" i="1"/>
  <c r="M73" i="1"/>
  <c r="F18" i="1"/>
  <c r="F52" i="1"/>
  <c r="F54" i="1" s="1"/>
  <c r="F57" i="1" s="1"/>
  <c r="M70" i="1" s="1"/>
  <c r="E52" i="1"/>
  <c r="E54" i="1" s="1"/>
  <c r="E57" i="1" s="1"/>
  <c r="L70" i="1" s="1"/>
  <c r="D52" i="1"/>
  <c r="C52" i="1"/>
  <c r="G49" i="1"/>
  <c r="N47" i="1"/>
  <c r="N28" i="1"/>
  <c r="N60" i="1" s="1"/>
  <c r="G18" i="1"/>
  <c r="K12" i="1"/>
  <c r="K76" i="1"/>
  <c r="L76" i="1"/>
  <c r="M76" i="1"/>
  <c r="J76" i="1"/>
  <c r="L40" i="1"/>
  <c r="D6" i="1"/>
  <c r="M67" i="1" l="1"/>
  <c r="M69" i="1" s="1"/>
  <c r="L67" i="1"/>
  <c r="L69" i="1" s="1"/>
  <c r="N62" i="1"/>
  <c r="G20" i="1"/>
  <c r="J12" i="1"/>
  <c r="E18" i="1"/>
  <c r="G23" i="1" l="1"/>
  <c r="G22" i="1"/>
  <c r="D54" i="1"/>
  <c r="D57" i="1" s="1"/>
  <c r="K70" i="1" s="1"/>
  <c r="C54" i="1"/>
  <c r="C57" i="1" s="1"/>
  <c r="K56" i="1"/>
  <c r="L56" i="1"/>
  <c r="J56" i="1"/>
  <c r="G28" i="1" l="1"/>
  <c r="G24" i="1"/>
  <c r="D44" i="1" l="1"/>
  <c r="E38" i="1" s="1"/>
  <c r="E44" i="1" s="1"/>
  <c r="F38" i="1" s="1"/>
  <c r="F44" i="1" s="1"/>
  <c r="C49" i="1"/>
  <c r="D47" i="1"/>
  <c r="E47" i="1"/>
  <c r="E49" i="1" s="1"/>
  <c r="F49" i="1"/>
  <c r="F20" i="1" l="1"/>
  <c r="F22" i="1" s="1"/>
  <c r="D49" i="1"/>
  <c r="E20" i="1"/>
  <c r="K68" i="1"/>
  <c r="E23" i="1" l="1"/>
  <c r="E22" i="1"/>
  <c r="C23" i="1"/>
  <c r="F23" i="1"/>
  <c r="M71" i="1" s="1"/>
  <c r="M47" i="1"/>
  <c r="M28" i="1"/>
  <c r="C28" i="1" l="1"/>
  <c r="C24" i="1"/>
  <c r="E28" i="1"/>
  <c r="E24" i="1"/>
  <c r="E25" i="1"/>
  <c r="F28" i="1"/>
  <c r="F26" i="1"/>
  <c r="F24" i="1"/>
  <c r="D25" i="1"/>
  <c r="M61" i="1"/>
  <c r="M62" i="1" s="1"/>
  <c r="M60" i="1"/>
  <c r="F30" i="1" l="1"/>
  <c r="F29" i="1"/>
  <c r="E29" i="1"/>
  <c r="D29" i="1"/>
  <c r="K7" i="1"/>
  <c r="L47" i="1"/>
  <c r="L61" i="1" s="1"/>
  <c r="L62" i="1" s="1"/>
  <c r="L28" i="1"/>
  <c r="J68" i="1"/>
  <c r="L60" i="1" l="1"/>
  <c r="L58" i="1"/>
  <c r="K28" i="1"/>
  <c r="J47" i="1"/>
  <c r="J61" i="1" s="1"/>
  <c r="K40" i="1"/>
  <c r="J40" i="1"/>
  <c r="J28" i="1"/>
  <c r="J67" i="1" l="1"/>
  <c r="J69" i="1" s="1"/>
  <c r="K71" i="1"/>
  <c r="J74" i="1"/>
  <c r="J73" i="1"/>
  <c r="J71" i="1"/>
  <c r="K67" i="1"/>
  <c r="K69" i="1" s="1"/>
  <c r="K74" i="1"/>
  <c r="K73" i="1"/>
  <c r="L71" i="1"/>
  <c r="J14" i="1"/>
  <c r="J72" i="1" s="1"/>
  <c r="J62" i="1"/>
  <c r="K14" i="1"/>
  <c r="K72" i="1" s="1"/>
  <c r="J60" i="1"/>
  <c r="J58" i="1"/>
  <c r="K60" i="1"/>
  <c r="K58" i="1"/>
  <c r="K47" i="1"/>
  <c r="K61" i="1" l="1"/>
  <c r="K62" i="1" s="1"/>
</calcChain>
</file>

<file path=xl/sharedStrings.xml><?xml version="1.0" encoding="utf-8"?>
<sst xmlns="http://schemas.openxmlformats.org/spreadsheetml/2006/main" count="171" uniqueCount="124">
  <si>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</si>
  <si>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</si>
  <si>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</si>
  <si>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</si>
  <si>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</si>
  <si>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</si>
  <si>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</si>
  <si>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</si>
  <si>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</si>
  <si>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</si>
  <si>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</si>
  <si>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</si>
  <si>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</si>
  <si>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</si>
  <si>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</si>
  <si>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</si>
  <si>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</si>
  <si>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</si>
  <si>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</si>
  <si>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</si>
  <si>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</si>
  <si>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</si>
  <si>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</si>
  <si>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</si>
  <si>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</si>
  <si>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</si>
  <si>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</si>
  <si>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</si>
  <si>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</si>
  <si>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</si>
  <si>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</si>
  <si>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</si>
  <si>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</si>
  <si>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</si>
  <si>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</si>
  <si>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</si>
  <si>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</si>
  <si>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</si>
  <si>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</si>
  <si>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</si>
  <si>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</si>
  <si>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</si>
  <si>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</si>
  <si>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</si>
  <si>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</si>
  <si>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</si>
  <si>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</si>
  <si>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</si>
  <si>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</si>
  <si>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</si>
  <si>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</si>
  <si>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</si>
  <si>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</si>
  <si>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</si>
  <si>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</si>
  <si>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</si>
  <si>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</si>
  <si>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</si>
  <si>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</si>
  <si>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</si>
  <si>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</si>
  <si>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</si>
  <si>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</si>
  <si>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</si>
  <si>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</si>
  <si>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</si>
  <si>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</si>
  <si>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</si>
  <si>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</si>
  <si>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</si>
  <si>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</si>
  <si>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</si>
  <si>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</si>
  <si>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</si>
  <si>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</si>
  <si>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</si>
  <si>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</si>
  <si>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</si>
  <si>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</si>
  <si>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Debtor Days</t>
  </si>
  <si>
    <t>Interest Coverage</t>
  </si>
  <si>
    <t>BVPS (₹)</t>
  </si>
  <si>
    <t>EPS (₹)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</si>
  <si>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</si>
  <si>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</si>
  <si>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</si>
  <si>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</si>
  <si>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</si>
  <si>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</si>
  <si>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</si>
  <si>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</si>
  <si>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</si>
  <si>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</si>
  <si>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</si>
  <si>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</si>
  <si>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</si>
  <si>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</si>
  <si>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Net Change in Cash and Cash Equivalent</t>
  </si>
  <si>
    <t xml:space="preserve">i) Non-current Investments </t>
  </si>
  <si>
    <t>e) Financial Assets:</t>
  </si>
  <si>
    <t>g) Other Non Current Assets</t>
  </si>
  <si>
    <t xml:space="preserve">i)  Current Investments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</si>
  <si>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</si>
  <si>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b) Deferred Tax Assets (Net)</t>
  </si>
  <si>
    <t>c) Long-Term Loans &amp; Advances</t>
  </si>
  <si>
    <t>CMP (As per Stock Price at NSE) (₹)</t>
  </si>
  <si>
    <t>N.A.</t>
  </si>
  <si>
    <t>Paticulars (INR Mn)</t>
  </si>
  <si>
    <t>Basilic Fly Studio Ltd</t>
  </si>
  <si>
    <t>Effect of Exchange Difference</t>
  </si>
  <si>
    <t xml:space="preserve">Other Comprehensive Income </t>
  </si>
  <si>
    <t>Net Profit for the Year</t>
  </si>
  <si>
    <t>e) Right of use Assets</t>
  </si>
  <si>
    <t xml:space="preserve">b) Long Term Provisions </t>
  </si>
  <si>
    <t>ii) Long term lease liabilities</t>
  </si>
  <si>
    <t>iii) Trade Payables</t>
  </si>
  <si>
    <t>iv) Other Financial Liabilities</t>
  </si>
  <si>
    <t>ii) Short Term Lease Liability</t>
  </si>
  <si>
    <t>FY26</t>
  </si>
  <si>
    <t xml:space="preserve">f) Intangible Assets under Development </t>
  </si>
  <si>
    <t>Shares outstanding on 31st march 2025</t>
  </si>
  <si>
    <t>QIP on sept 2025</t>
  </si>
  <si>
    <t>PAT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</si>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</sst>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_ ;_ * \-#,##0_ ;_ * &quot;-&quot;??_ ;_ @_ "/>
    <numFmt numFmtId="168" formatCode="_ * #,##0.0_ ;_ * \-#,##0.0_ ;_ * &quot;-&quot;?_ ;_ @_ 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color rgb="FF0070C0"/>
      <name val="Calibri"/>
      <family val="2"/>
    </font>
    <font>
      <i/>
      <sz val="11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10" fontId="0" fillId="0" borderId="0" xfId="0" applyNumberFormat="1"/>
    <xf numFmtId="0" fontId="0" fillId="5" borderId="0" xfId="0" applyFill="1"/>
    <xf numFmtId="164" fontId="0" fillId="0" borderId="0" xfId="0" applyNumberFormat="1"/>
    <xf numFmtId="0" fontId="0" fillId="0" borderId="1" xfId="0" applyBorder="1"/>
    <xf numFmtId="0" fontId="2" fillId="3" borderId="1" xfId="0" applyFont="1" applyFill="1" applyBorder="1"/>
    <xf numFmtId="0" fontId="2" fillId="2" borderId="1" xfId="0" applyFont="1" applyFill="1" applyBorder="1"/>
    <xf numFmtId="0" fontId="4" fillId="6" borderId="1" xfId="0" applyFont="1" applyFill="1" applyBorder="1"/>
    <xf numFmtId="10" fontId="5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7" fillId="6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9" fillId="6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0" borderId="0" xfId="0" applyFont="1"/>
    <xf numFmtId="0" fontId="0" fillId="2" borderId="1" xfId="0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6" fontId="9" fillId="6" borderId="1" xfId="1" applyNumberFormat="1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0" fillId="2" borderId="1" xfId="1" applyNumberFormat="1" applyFont="1" applyFill="1" applyBorder="1" applyAlignment="1">
      <alignment horizontal="right"/>
    </xf>
    <xf numFmtId="165" fontId="0" fillId="2" borderId="1" xfId="2" applyNumberFormat="1" applyFont="1" applyFill="1" applyBorder="1" applyAlignment="1">
      <alignment horizontal="right"/>
    </xf>
    <xf numFmtId="43" fontId="0" fillId="0" borderId="0" xfId="0" applyNumberFormat="1"/>
    <xf numFmtId="167" fontId="0" fillId="2" borderId="1" xfId="1" applyNumberFormat="1" applyFont="1" applyFill="1" applyBorder="1" applyAlignment="1">
      <alignment horizontal="right"/>
    </xf>
    <xf numFmtId="168" fontId="0" fillId="0" borderId="0" xfId="0" applyNumberFormat="1"/>
    <xf numFmtId="43" fontId="0" fillId="2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43" fontId="10" fillId="0" borderId="1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8"/>
  <sheetViews>
    <sheetView tabSelected="1" zoomScaleNormal="100" workbookViewId="0">
      <pane ySplit="4" topLeftCell="A5" activePane="bottomLeft" state="frozen"/>
      <selection pane="bottomLeft" activeCell="D77" sqref="D77"/>
    </sheetView>
  </sheetViews>
  <sheetFormatPr defaultColWidth="8.77734375" defaultRowHeight="14.4" x14ac:dyDescent="0.3"/>
  <cols>
    <col min="1" max="1" width="2.6640625" customWidth="1"/>
    <col min="2" max="2" width="70.44140625" bestFit="1" customWidth="1"/>
    <col min="3" max="4" width="14.77734375" bestFit="1" customWidth="1"/>
    <col min="5" max="5" width="16.21875" bestFit="1" customWidth="1"/>
    <col min="6" max="6" width="14.77734375" bestFit="1" customWidth="1"/>
    <col min="7" max="7" width="14.44140625" customWidth="1"/>
    <col min="8" max="8" width="4.21875" customWidth="1"/>
    <col min="9" max="9" width="50.77734375" customWidth="1"/>
    <col min="10" max="10" width="14.77734375" bestFit="1" customWidth="1"/>
    <col min="11" max="11" width="13" bestFit="1" customWidth="1"/>
    <col min="12" max="13" width="14.77734375" bestFit="1" customWidth="1"/>
    <col min="14" max="14" width="12" bestFit="1" customWidth="1"/>
    <col min="15" max="15" width="43.44140625" bestFit="1" customWidth="1"/>
  </cols>
  <sheetData>
    <row r="2" spans="1:14" ht="19.5" customHeight="1" x14ac:dyDescent="0.3">
      <c r="B2" s="44" t="s">
        <v>108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4.25" customHeight="1" x14ac:dyDescent="0.3">
      <c r="B3" s="43" t="s">
        <v>40</v>
      </c>
      <c r="C3" s="43"/>
      <c r="D3" s="43"/>
      <c r="E3" s="43"/>
      <c r="F3" s="43"/>
      <c r="G3" s="43"/>
      <c r="H3" s="5"/>
      <c r="I3" s="45" t="s">
        <v>39</v>
      </c>
      <c r="J3" s="46"/>
      <c r="K3" s="46"/>
      <c r="L3" s="46"/>
      <c r="M3" s="46"/>
      <c r="N3" s="47"/>
    </row>
    <row r="4" spans="1:14" x14ac:dyDescent="0.3">
      <c r="B4" s="8" t="s">
        <v>0</v>
      </c>
      <c r="C4" s="25" t="s">
        <v>1</v>
      </c>
      <c r="D4" s="25" t="s">
        <v>2</v>
      </c>
      <c r="E4" s="25" t="s">
        <v>86</v>
      </c>
      <c r="F4" s="25" t="s">
        <v>94</v>
      </c>
      <c r="G4" s="25" t="s">
        <v>118</v>
      </c>
      <c r="H4" s="5"/>
      <c r="I4" s="8" t="s">
        <v>0</v>
      </c>
      <c r="J4" s="25" t="s">
        <v>1</v>
      </c>
      <c r="K4" s="25" t="s">
        <v>2</v>
      </c>
      <c r="L4" s="25" t="s">
        <v>86</v>
      </c>
      <c r="M4" s="25" t="s">
        <v>94</v>
      </c>
      <c r="N4" s="25" t="s">
        <v>118</v>
      </c>
    </row>
    <row r="5" spans="1:14" x14ac:dyDescent="0.3">
      <c r="B5" s="9" t="s">
        <v>41</v>
      </c>
      <c r="C5" s="26">
        <v>251.584</v>
      </c>
      <c r="D5" s="26">
        <v>786.67399999999998</v>
      </c>
      <c r="E5" s="26">
        <v>1026.7</v>
      </c>
      <c r="F5" s="27">
        <v>3040.9</v>
      </c>
      <c r="G5" s="27">
        <v>4078</v>
      </c>
      <c r="H5" s="5"/>
      <c r="I5" s="7" t="s">
        <v>3</v>
      </c>
      <c r="J5" s="22">
        <v>10</v>
      </c>
      <c r="K5" s="22">
        <v>170</v>
      </c>
      <c r="L5" s="22">
        <v>232.4</v>
      </c>
      <c r="M5" s="22">
        <v>232.4</v>
      </c>
      <c r="N5" s="22">
        <v>253</v>
      </c>
    </row>
    <row r="6" spans="1:14" x14ac:dyDescent="0.3">
      <c r="B6" s="10" t="s">
        <v>42</v>
      </c>
      <c r="C6" s="11"/>
      <c r="D6" s="11" t="str">
        <f>IF(D5/C5-1&gt;100%,"N.A.",IF(D5/C5-1&lt;-100%,"N.A.",(D5/C5-1)))</f>
        <v>N.A.</v>
      </c>
      <c r="E6" s="11">
        <f>IF(E5/D5-1&gt;100%,"N.A.",IF(E5/D5-1&lt;-100%,"N.A.",(E5/D5-1)))</f>
        <v>0.30511495231824126</v>
      </c>
      <c r="F6" s="11" t="str">
        <f>IF(F5/E5-1&gt;100%,"N.A.",IF(F5/E5-1&lt;-100%,"N.A.",(F5/E5-1)))</f>
        <v>N.A.</v>
      </c>
      <c r="G6" s="11">
        <f>IF(G5/F5-1&gt;100%,"N.A.",IF(G5/F5-1&lt;-100%,"N.A.",(G5/F5-1)))</f>
        <v>0.34105034693676206</v>
      </c>
      <c r="H6" s="5"/>
      <c r="I6" s="7" t="s">
        <v>7</v>
      </c>
      <c r="J6" s="22">
        <v>29.416</v>
      </c>
      <c r="K6" s="22">
        <v>146.69999999999999</v>
      </c>
      <c r="L6" s="22">
        <v>984.53</v>
      </c>
      <c r="M6" s="22">
        <v>1771.74</v>
      </c>
      <c r="N6" s="22">
        <v>3086</v>
      </c>
    </row>
    <row r="7" spans="1:14" x14ac:dyDescent="0.3">
      <c r="B7" s="10" t="s">
        <v>43</v>
      </c>
      <c r="C7" s="11"/>
      <c r="D7" s="11"/>
      <c r="E7" s="11" t="s">
        <v>106</v>
      </c>
      <c r="F7" s="11" t="str">
        <f>IF((F5/C5)^(1/3)-1&lt;-100%,"N.A.",IF((F5/C5)^(1/3)-1&gt;100%,"N.A.",((F5/C5)^(1/3)-1)))</f>
        <v>N.A.</v>
      </c>
      <c r="G7" s="11">
        <f>IF((G5/D5)^(1/3)-1&lt;-100%,"N.A.",IF((G5/D5)^(1/3)-1&gt;100%,"N.A.",((G5/D5)^(1/3)-1)))</f>
        <v>0.73068278939669673</v>
      </c>
      <c r="H7" s="5"/>
      <c r="I7" s="9" t="s">
        <v>8</v>
      </c>
      <c r="J7" s="26">
        <f>SUM(J5:J6)+J9</f>
        <v>41.745999999999995</v>
      </c>
      <c r="K7" s="26">
        <f t="shared" ref="K7" si="0">SUM(K5:K6)+K9</f>
        <v>320.63900000000001</v>
      </c>
      <c r="L7" s="26">
        <f>SUM(L5:L6)+L9</f>
        <v>1221.0800000000002</v>
      </c>
      <c r="M7" s="26">
        <f>SUM(M5:M6)+M9</f>
        <v>2088.0100000000002</v>
      </c>
      <c r="N7" s="26">
        <f>SUM(N5:N6)+N9</f>
        <v>3441</v>
      </c>
    </row>
    <row r="8" spans="1:14" x14ac:dyDescent="0.3">
      <c r="B8" s="7" t="s">
        <v>95</v>
      </c>
      <c r="C8" s="22">
        <v>107.7</v>
      </c>
      <c r="D8" s="22">
        <v>217.518</v>
      </c>
      <c r="E8" s="22">
        <v>0</v>
      </c>
      <c r="F8" s="28">
        <v>0</v>
      </c>
      <c r="G8" s="28">
        <v>0</v>
      </c>
      <c r="H8" s="5"/>
      <c r="I8" s="9" t="s">
        <v>9</v>
      </c>
      <c r="J8" s="26">
        <f t="shared" ref="J8:M8" si="1">SUM(J5:J6)+J9</f>
        <v>41.745999999999995</v>
      </c>
      <c r="K8" s="26">
        <f t="shared" si="1"/>
        <v>320.63900000000001</v>
      </c>
      <c r="L8" s="26">
        <f t="shared" si="1"/>
        <v>1221.0800000000002</v>
      </c>
      <c r="M8" s="26">
        <f t="shared" si="1"/>
        <v>2088.0100000000002</v>
      </c>
      <c r="N8" s="26">
        <f>SUM(N5:N6)+N9</f>
        <v>3441</v>
      </c>
    </row>
    <row r="9" spans="1:14" x14ac:dyDescent="0.3">
      <c r="B9" s="7" t="s">
        <v>96</v>
      </c>
      <c r="C9" s="22">
        <v>124.93</v>
      </c>
      <c r="D9" s="22">
        <v>175.59200000000001</v>
      </c>
      <c r="E9" s="22">
        <v>291.39999999999998</v>
      </c>
      <c r="F9" s="28">
        <v>1902.21</v>
      </c>
      <c r="G9" s="28">
        <v>2596</v>
      </c>
      <c r="H9" s="5"/>
      <c r="I9" s="7" t="s">
        <v>10</v>
      </c>
      <c r="J9" s="30">
        <v>2.33</v>
      </c>
      <c r="K9" s="30">
        <v>3.9390000000000001</v>
      </c>
      <c r="L9" s="30">
        <v>4.1500000000000004</v>
      </c>
      <c r="M9" s="30">
        <v>83.87</v>
      </c>
      <c r="N9" s="30">
        <v>102</v>
      </c>
    </row>
    <row r="10" spans="1:14" x14ac:dyDescent="0.3">
      <c r="B10" s="12" t="s">
        <v>44</v>
      </c>
      <c r="C10" s="22">
        <v>3.262</v>
      </c>
      <c r="D10" s="22">
        <v>9.4290000000000003</v>
      </c>
      <c r="E10" s="22">
        <v>246.1</v>
      </c>
      <c r="F10" s="28">
        <v>424.32</v>
      </c>
      <c r="G10" s="28">
        <v>630</v>
      </c>
      <c r="H10" s="5"/>
      <c r="I10" s="7" t="s">
        <v>4</v>
      </c>
      <c r="J10" s="22">
        <v>30.905000000000001</v>
      </c>
      <c r="K10" s="22">
        <v>25.257999999999999</v>
      </c>
      <c r="L10" s="22">
        <v>5.601</v>
      </c>
      <c r="M10" s="22">
        <v>356.97</v>
      </c>
      <c r="N10" s="22">
        <v>263</v>
      </c>
    </row>
    <row r="11" spans="1:14" x14ac:dyDescent="0.3">
      <c r="B11" s="9" t="s">
        <v>45</v>
      </c>
      <c r="C11" s="26">
        <f>C5-SUM(C8:C10)</f>
        <v>15.692000000000007</v>
      </c>
      <c r="D11" s="26">
        <f>D5-SUM(D8:D10)</f>
        <v>384.13499999999999</v>
      </c>
      <c r="E11" s="26">
        <f>E5-SUM(E8:E10)</f>
        <v>489.20000000000005</v>
      </c>
      <c r="F11" s="26">
        <f>F5-SUM(F8:F10)</f>
        <v>714.36999999999989</v>
      </c>
      <c r="G11" s="26">
        <f>G5-SUM(G8:G10)</f>
        <v>852</v>
      </c>
      <c r="H11" s="5"/>
      <c r="I11" s="7" t="s">
        <v>5</v>
      </c>
      <c r="J11" s="22">
        <v>10.417999999999999</v>
      </c>
      <c r="K11" s="22">
        <v>17.449000000000002</v>
      </c>
      <c r="L11" s="22">
        <v>18.64</v>
      </c>
      <c r="M11" s="22">
        <v>155.25</v>
      </c>
      <c r="N11" s="22">
        <v>384</v>
      </c>
    </row>
    <row r="12" spans="1:14" x14ac:dyDescent="0.3">
      <c r="B12" s="14" t="s">
        <v>46</v>
      </c>
      <c r="C12" s="11">
        <f>IF(C11/C5&gt;100%,"N.A",IF(C11/C5&lt;-100%,"N.A.",(C11/C5)))</f>
        <v>6.2372805901806182E-2</v>
      </c>
      <c r="D12" s="11">
        <f>IF(D11/D5&gt;100%,"N.A",IF(D11/D5&lt;-100%,"N.A.",(D11/D5)))</f>
        <v>0.48830265141596135</v>
      </c>
      <c r="E12" s="11">
        <f>IF(E11/E5&gt;100%,"N.A",IF(E11/E5&lt;-100%,"N.A.",(E11/E5)))</f>
        <v>0.47647803642738873</v>
      </c>
      <c r="F12" s="11">
        <f>IF(F11/F5&gt;100%,"N.A",IF(F11/F5&lt;-100%,"N.A.",(F11/F5)))</f>
        <v>0.23492058272222036</v>
      </c>
      <c r="G12" s="11">
        <f>IF(G11/G5&gt;100%,"N.A",IF(G11/G5&lt;-100%,"N.A.",(G11/G5)))</f>
        <v>0.20892594409024032</v>
      </c>
      <c r="H12" s="5"/>
      <c r="I12" s="9" t="s">
        <v>11</v>
      </c>
      <c r="J12" s="26">
        <f>J10+J11</f>
        <v>41.323</v>
      </c>
      <c r="K12" s="26">
        <f t="shared" ref="K12" si="2">K10+K11</f>
        <v>42.707000000000001</v>
      </c>
      <c r="L12" s="26">
        <f>L10+L11</f>
        <v>24.241</v>
      </c>
      <c r="M12" s="26">
        <f>M10+M11</f>
        <v>512.22</v>
      </c>
      <c r="N12" s="26">
        <f>N10+N11</f>
        <v>647</v>
      </c>
    </row>
    <row r="13" spans="1:14" x14ac:dyDescent="0.3">
      <c r="A13" s="4"/>
      <c r="B13" s="14" t="s">
        <v>42</v>
      </c>
      <c r="C13" s="11"/>
      <c r="D13" s="11" t="str">
        <f>IF(D11/C11-1&gt;100%,("N.A."),IF(D11/C11-1&lt;-100%,("N.A."),(D11/C11-1)))</f>
        <v>N.A.</v>
      </c>
      <c r="E13" s="11">
        <f>IF(E11/D11-1&gt;100%,("N.A."),IF(E11/D11-1&lt;-100%,("N.A."),(E11/D11-1)))</f>
        <v>0.27351061475783278</v>
      </c>
      <c r="F13" s="11">
        <f>IF(F11/E11-1&gt;100%,("N.A."),IF(F11/E11-1&lt;-100%,("N.A."),(F11/E11-1)))</f>
        <v>0.46028209321340929</v>
      </c>
      <c r="G13" s="11">
        <f>IF(G11/F11-1&gt;100%,("N.A."),IF(G11/F11-1&lt;-100%,("N.A."),(G11/F11-1)))</f>
        <v>0.1926592662065878</v>
      </c>
      <c r="H13" s="5"/>
      <c r="I13" s="7"/>
      <c r="J13" s="22"/>
      <c r="K13" s="22"/>
      <c r="L13" s="22"/>
      <c r="M13" s="22"/>
      <c r="N13" s="22"/>
    </row>
    <row r="14" spans="1:14" x14ac:dyDescent="0.3">
      <c r="B14" s="14" t="s">
        <v>47</v>
      </c>
      <c r="C14" s="11"/>
      <c r="D14" s="11"/>
      <c r="E14" s="11" t="s">
        <v>106</v>
      </c>
      <c r="F14" s="11" t="str">
        <f>IF((F11/C11)^(1/3)-1&lt;-100%,"N.A.",IF((F11/C11)^(1/3)-1&gt;100%,"N.A.",((F11/C11)^(1/3)-1)))</f>
        <v>N.A.</v>
      </c>
      <c r="G14" s="11">
        <f>IF((G11/D11)^(1/3)-1&lt;-100%,"N.A.",IF((G11/D11)^(1/3)-1&gt;100%,"N.A.",((G11/D11)^(1/3)-1)))</f>
        <v>0.30412305255472805</v>
      </c>
      <c r="H14" s="5"/>
      <c r="I14" s="9" t="s">
        <v>6</v>
      </c>
      <c r="J14" s="26">
        <f>J8+J12</f>
        <v>83.068999999999988</v>
      </c>
      <c r="K14" s="26">
        <f>K8+K12</f>
        <v>363.346</v>
      </c>
      <c r="L14" s="26">
        <f>L8+L12</f>
        <v>1245.3210000000001</v>
      </c>
      <c r="M14" s="26">
        <f>M8+M12</f>
        <v>2600.2300000000005</v>
      </c>
      <c r="N14" s="26">
        <f>N8+N12</f>
        <v>4088</v>
      </c>
    </row>
    <row r="15" spans="1:14" x14ac:dyDescent="0.3">
      <c r="B15" s="7" t="s">
        <v>48</v>
      </c>
      <c r="C15" s="22">
        <v>1.294</v>
      </c>
      <c r="D15" s="22">
        <v>4.266</v>
      </c>
      <c r="E15" s="22">
        <v>31.2</v>
      </c>
      <c r="F15" s="28">
        <v>20.85</v>
      </c>
      <c r="G15" s="28">
        <v>106</v>
      </c>
      <c r="H15" s="5"/>
      <c r="I15" s="7"/>
      <c r="J15" s="22"/>
      <c r="K15" s="22"/>
      <c r="L15" s="22"/>
      <c r="M15" s="22"/>
      <c r="N15" s="22"/>
    </row>
    <row r="16" spans="1:14" x14ac:dyDescent="0.3">
      <c r="B16" s="7" t="s">
        <v>49</v>
      </c>
      <c r="C16" s="22">
        <v>2.83</v>
      </c>
      <c r="D16" s="22">
        <v>5.6029999999999998</v>
      </c>
      <c r="E16" s="22">
        <v>10.5</v>
      </c>
      <c r="F16" s="28">
        <v>122.08</v>
      </c>
      <c r="G16" s="28">
        <v>163</v>
      </c>
      <c r="H16" s="5"/>
      <c r="I16" s="15" t="s">
        <v>16</v>
      </c>
      <c r="J16" s="22"/>
      <c r="K16" s="22"/>
      <c r="L16" s="22"/>
      <c r="M16" s="22"/>
      <c r="N16" s="22"/>
    </row>
    <row r="17" spans="2:14" x14ac:dyDescent="0.3">
      <c r="B17" s="7" t="s">
        <v>50</v>
      </c>
      <c r="C17" s="22">
        <v>0.85</v>
      </c>
      <c r="D17" s="22">
        <v>7.7670000000000003</v>
      </c>
      <c r="E17" s="22">
        <v>5.2</v>
      </c>
      <c r="F17" s="28">
        <v>62.61</v>
      </c>
      <c r="G17" s="28">
        <v>101</v>
      </c>
      <c r="H17" s="5"/>
      <c r="I17" s="7" t="s">
        <v>12</v>
      </c>
      <c r="J17" s="22">
        <v>11.196999999999999</v>
      </c>
      <c r="K17" s="22">
        <v>23.158999999999999</v>
      </c>
      <c r="L17" s="22">
        <v>19.196000000000002</v>
      </c>
      <c r="M17" s="22">
        <v>178.78</v>
      </c>
      <c r="N17" s="22">
        <v>218</v>
      </c>
    </row>
    <row r="18" spans="2:14" x14ac:dyDescent="0.3">
      <c r="B18" s="9" t="s">
        <v>84</v>
      </c>
      <c r="C18" s="26">
        <f>C11+C15-SUM(C16:C17)</f>
        <v>13.306000000000008</v>
      </c>
      <c r="D18" s="26">
        <f>D11+D15-SUM(D16:D17)</f>
        <v>375.03100000000001</v>
      </c>
      <c r="E18" s="26">
        <f>E11+E15-SUM(E16:E17)</f>
        <v>504.7000000000001</v>
      </c>
      <c r="F18" s="26">
        <f>F11+F15-SUM(F16:F17)</f>
        <v>550.53</v>
      </c>
      <c r="G18" s="26">
        <f>G11+G15-SUM(G16:G17)</f>
        <v>694</v>
      </c>
      <c r="H18" s="5"/>
      <c r="I18" s="7" t="s">
        <v>103</v>
      </c>
      <c r="J18" s="22">
        <v>0.45300000000000001</v>
      </c>
      <c r="K18" s="22">
        <v>3.14</v>
      </c>
      <c r="L18" s="22">
        <v>12.23</v>
      </c>
      <c r="M18" s="22">
        <v>16.87</v>
      </c>
      <c r="N18" s="22">
        <v>22</v>
      </c>
    </row>
    <row r="19" spans="2:14" x14ac:dyDescent="0.3">
      <c r="B19" s="7" t="s">
        <v>85</v>
      </c>
      <c r="C19" s="22">
        <v>0</v>
      </c>
      <c r="D19" s="22">
        <v>0</v>
      </c>
      <c r="E19" s="22">
        <v>0</v>
      </c>
      <c r="F19" s="22">
        <v>-40</v>
      </c>
      <c r="G19" s="22">
        <v>-32</v>
      </c>
      <c r="H19" s="5"/>
      <c r="I19" s="7" t="s">
        <v>104</v>
      </c>
      <c r="J19" s="22">
        <v>6.4939999999999998</v>
      </c>
      <c r="K19" s="22">
        <v>0</v>
      </c>
      <c r="L19" s="22">
        <v>0</v>
      </c>
      <c r="M19" s="22">
        <v>0</v>
      </c>
      <c r="N19" s="22">
        <v>0</v>
      </c>
    </row>
    <row r="20" spans="2:14" x14ac:dyDescent="0.3">
      <c r="B20" s="9" t="s">
        <v>51</v>
      </c>
      <c r="C20" s="26">
        <f>C18+C19</f>
        <v>13.306000000000008</v>
      </c>
      <c r="D20" s="26">
        <f>D18+D19</f>
        <v>375.03100000000001</v>
      </c>
      <c r="E20" s="26">
        <f>E18+E19</f>
        <v>504.7000000000001</v>
      </c>
      <c r="F20" s="26">
        <f>F18+F19</f>
        <v>510.53</v>
      </c>
      <c r="G20" s="26">
        <f>G18+G19</f>
        <v>662</v>
      </c>
      <c r="H20" s="5"/>
      <c r="I20" s="7" t="s">
        <v>13</v>
      </c>
      <c r="J20" s="22">
        <v>0</v>
      </c>
      <c r="K20" s="22">
        <v>0</v>
      </c>
      <c r="L20" s="22">
        <v>0</v>
      </c>
      <c r="M20" s="22">
        <v>775.21</v>
      </c>
      <c r="N20" s="22">
        <v>775</v>
      </c>
    </row>
    <row r="21" spans="2:14" x14ac:dyDescent="0.3">
      <c r="B21" s="7" t="s">
        <v>52</v>
      </c>
      <c r="C21" s="22">
        <v>4.1690000000000005</v>
      </c>
      <c r="D21" s="22">
        <v>96.019000000000005</v>
      </c>
      <c r="E21" s="22">
        <v>140.6</v>
      </c>
      <c r="F21" s="22">
        <v>63.989999999999995</v>
      </c>
      <c r="G21" s="22">
        <v>156</v>
      </c>
      <c r="H21" s="5"/>
      <c r="I21" s="7" t="s">
        <v>112</v>
      </c>
      <c r="J21" s="22">
        <v>0</v>
      </c>
      <c r="K21" s="22">
        <v>0</v>
      </c>
      <c r="L21" s="22">
        <v>150.71</v>
      </c>
      <c r="M21" s="22">
        <v>276.75</v>
      </c>
      <c r="N21" s="22">
        <v>388</v>
      </c>
    </row>
    <row r="22" spans="2:14" x14ac:dyDescent="0.3">
      <c r="B22" s="14" t="s">
        <v>53</v>
      </c>
      <c r="C22" s="11">
        <f>C21/C20</f>
        <v>0.31331730046595507</v>
      </c>
      <c r="D22" s="11">
        <f>D21/D20</f>
        <v>0.2560295015612043</v>
      </c>
      <c r="E22" s="11">
        <f>E21/E20</f>
        <v>0.27858133544680003</v>
      </c>
      <c r="F22" s="24">
        <f>F21/F20</f>
        <v>0.12534033259553798</v>
      </c>
      <c r="G22" s="24">
        <f>G21/G20</f>
        <v>0.23564954682779457</v>
      </c>
      <c r="H22" s="5"/>
      <c r="I22" s="7" t="s">
        <v>99</v>
      </c>
      <c r="J22" s="22"/>
      <c r="K22" s="22"/>
      <c r="L22" s="22"/>
      <c r="M22" s="22"/>
      <c r="N22" s="22"/>
    </row>
    <row r="23" spans="2:14" x14ac:dyDescent="0.3">
      <c r="B23" s="9" t="s">
        <v>111</v>
      </c>
      <c r="C23" s="26">
        <f>C20-C21</f>
        <v>9.1370000000000076</v>
      </c>
      <c r="D23" s="26">
        <f>D20-D21</f>
        <v>279.012</v>
      </c>
      <c r="E23" s="26">
        <f>E20-E21</f>
        <v>364.10000000000014</v>
      </c>
      <c r="F23" s="26">
        <f>F20-F21</f>
        <v>446.53999999999996</v>
      </c>
      <c r="G23" s="26">
        <f>G20-G21</f>
        <v>506</v>
      </c>
      <c r="H23" s="5"/>
      <c r="I23" s="7" t="s">
        <v>119</v>
      </c>
      <c r="J23" s="22"/>
      <c r="K23" s="22"/>
      <c r="L23" s="22"/>
      <c r="M23" s="22"/>
      <c r="N23" s="22">
        <v>597</v>
      </c>
    </row>
    <row r="24" spans="2:14" x14ac:dyDescent="0.3">
      <c r="B24" s="14" t="s">
        <v>54</v>
      </c>
      <c r="C24" s="11">
        <f>+C23/(C15+C5)</f>
        <v>3.6132047864978395E-2</v>
      </c>
      <c r="D24" s="11">
        <f>+D23/(D15+D5)</f>
        <v>0.35276000708018312</v>
      </c>
      <c r="E24" s="11">
        <f>+E23/(E15+E5)</f>
        <v>0.34417241705265156</v>
      </c>
      <c r="F24" s="11">
        <f>+F23/(F15+F5)</f>
        <v>0.14584469666040661</v>
      </c>
      <c r="G24" s="11">
        <f>+G23/(G15+G5)</f>
        <v>0.12093690248565965</v>
      </c>
      <c r="H24" s="5"/>
      <c r="I24" s="7" t="s">
        <v>98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2:14" x14ac:dyDescent="0.3">
      <c r="B25" s="14" t="s">
        <v>42</v>
      </c>
      <c r="C25" s="11"/>
      <c r="D25" s="11" t="str">
        <f>IF(D23/C23-1&gt;100%,"N.A.",IF(D23/C23-1&lt;-100%,"N.A.",D23/C23-1))</f>
        <v>N.A.</v>
      </c>
      <c r="E25" s="11">
        <f>IF(E23/D23-1&gt;100%,"N.A.",IF(E23/D23-1&lt;-100%,"N.A.",E23/D23-1))</f>
        <v>0.30496179375797516</v>
      </c>
      <c r="F25" s="11">
        <f>IF(F23/E23-1&gt;100%,"N.A.",IF(F23/E23-1&lt;-100%,"N.A.",F23/E23-1))</f>
        <v>0.22642131282614608</v>
      </c>
      <c r="G25" s="11">
        <f>IF(G23/F23-1&gt;100%,"N.A.",IF(G23/F23-1&lt;-100%,"N.A.",G23/F23-1))</f>
        <v>0.13315716397187272</v>
      </c>
      <c r="H25" s="5"/>
      <c r="I25" s="7" t="s">
        <v>87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2:14" x14ac:dyDescent="0.3">
      <c r="B26" s="14" t="s">
        <v>47</v>
      </c>
      <c r="C26" s="11"/>
      <c r="D26" s="11"/>
      <c r="E26" s="11" t="s">
        <v>106</v>
      </c>
      <c r="F26" s="11" t="str">
        <f>IF((F23/C23)^(1/3)-1&lt;-100%,"N.A.",IF((F23/C23)^(1/3)-1&gt;100%,"N.A.",((F23/C23)^(1/3)-1)))</f>
        <v>N.A.</v>
      </c>
      <c r="G26" s="11">
        <f>IF((G23/D23)^(1/3)-1&lt;-100%,"N.A.",IF((G23/D23)^(1/3)-1&gt;100%,"N.A.",((G23/D23)^(1/3)-1)))</f>
        <v>0.21948335866078805</v>
      </c>
      <c r="H26" s="5"/>
      <c r="I26" s="7" t="s">
        <v>88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2:14" x14ac:dyDescent="0.3">
      <c r="B27" s="15" t="s">
        <v>110</v>
      </c>
      <c r="C27" s="22">
        <v>0</v>
      </c>
      <c r="D27" s="22">
        <v>0</v>
      </c>
      <c r="E27" s="22">
        <v>0</v>
      </c>
      <c r="F27" s="22">
        <v>9</v>
      </c>
      <c r="G27" s="22">
        <v>29</v>
      </c>
      <c r="H27" s="5"/>
      <c r="I27" s="7" t="s">
        <v>100</v>
      </c>
      <c r="J27" s="22">
        <v>57.036999999999999</v>
      </c>
      <c r="K27" s="22">
        <v>98.932000000000002</v>
      </c>
      <c r="L27" s="22">
        <v>41.19</v>
      </c>
      <c r="M27" s="22">
        <v>49.32</v>
      </c>
      <c r="N27" s="22">
        <v>129</v>
      </c>
    </row>
    <row r="28" spans="2:14" x14ac:dyDescent="0.3">
      <c r="B28" s="9" t="s">
        <v>55</v>
      </c>
      <c r="C28" s="26">
        <f>C23+C27</f>
        <v>9.1370000000000076</v>
      </c>
      <c r="D28" s="26">
        <f>D23+D27</f>
        <v>279.012</v>
      </c>
      <c r="E28" s="26">
        <f>E23+E27</f>
        <v>364.10000000000014</v>
      </c>
      <c r="F28" s="26">
        <f>F23+F27</f>
        <v>455.53999999999996</v>
      </c>
      <c r="G28" s="26">
        <f>G23+G27</f>
        <v>535</v>
      </c>
      <c r="H28" s="5"/>
      <c r="I28" s="9" t="s">
        <v>14</v>
      </c>
      <c r="J28" s="26">
        <f>SUM(J17:J27)</f>
        <v>75.180999999999997</v>
      </c>
      <c r="K28" s="26">
        <f>SUM(K17:K27)</f>
        <v>125.23099999999999</v>
      </c>
      <c r="L28" s="26">
        <f>SUM(L17:L27)</f>
        <v>223.32600000000002</v>
      </c>
      <c r="M28" s="26">
        <f>SUM(M17:M27)</f>
        <v>1296.93</v>
      </c>
      <c r="N28" s="26">
        <f>SUM(N17:N27)</f>
        <v>2129</v>
      </c>
    </row>
    <row r="29" spans="2:14" x14ac:dyDescent="0.3">
      <c r="B29" s="14" t="s">
        <v>42</v>
      </c>
      <c r="C29" s="11"/>
      <c r="D29" s="11" t="str">
        <f>IF(D28/C28-1&gt;100%,"N.A.",IF(D28/C28-1&lt;-100%,"N.A.",(D28/C28-1)))</f>
        <v>N.A.</v>
      </c>
      <c r="E29" s="11">
        <f>IF(E28/D28-1&gt;100%,"N.A.",IF(E28/D28-1&lt;-100%,"N.A.",(E28/D28-1)))</f>
        <v>0.30496179375797516</v>
      </c>
      <c r="F29" s="11">
        <f>IF(F28/E28-1&gt;100%,"N.A.",IF(F28/E28-1&lt;-100%,"N.A.",(F28/E28-1)))</f>
        <v>0.25113979675913156</v>
      </c>
      <c r="G29" s="11">
        <f>IF(G28/F28-1&gt;100%,"N.A.",IF(G28/F28-1&lt;-100%,"N.A.",(G28/F28-1)))</f>
        <v>0.17443034640207244</v>
      </c>
      <c r="H29" s="5"/>
      <c r="I29" s="7"/>
      <c r="J29" s="22"/>
      <c r="K29" s="22"/>
      <c r="L29" s="22"/>
      <c r="M29" s="22"/>
      <c r="N29" s="22"/>
    </row>
    <row r="30" spans="2:14" x14ac:dyDescent="0.3">
      <c r="B30" s="14" t="s">
        <v>47</v>
      </c>
      <c r="C30" s="11"/>
      <c r="D30" s="11"/>
      <c r="E30" s="11" t="s">
        <v>106</v>
      </c>
      <c r="F30" s="11" t="str">
        <f>IF((F28/C28)^(1/3)-1&lt;-100%,"N.A.",IF((F28/C28)^(1/3)-1&gt;100%,"N.A.",((F28/C28)^(1/3)-1)))</f>
        <v>N.A.</v>
      </c>
      <c r="G30" s="11">
        <f>IF((G28/D28)^(1/3)-1&lt;-100%,"N.A.",IF((G28/D28)^(1/3)-1&gt;100%,"N.A.",((G28/D28)^(1/3)-1)))</f>
        <v>0.24234905299111609</v>
      </c>
      <c r="H30" s="5"/>
      <c r="I30" s="15" t="s">
        <v>15</v>
      </c>
      <c r="J30" s="22"/>
      <c r="K30" s="22"/>
      <c r="L30" s="22"/>
      <c r="M30" s="22"/>
      <c r="N30" s="22"/>
    </row>
    <row r="31" spans="2:14" x14ac:dyDescent="0.3">
      <c r="B31" s="7" t="s">
        <v>58</v>
      </c>
      <c r="C31" s="13"/>
      <c r="D31" s="13"/>
      <c r="E31" s="13"/>
      <c r="F31" s="29"/>
      <c r="G31" s="29"/>
      <c r="H31" s="5"/>
      <c r="I31" s="7" t="s">
        <v>17</v>
      </c>
      <c r="J31" s="22" t="s">
        <v>93</v>
      </c>
      <c r="K31" s="22" t="s">
        <v>93</v>
      </c>
      <c r="L31" s="22" t="s">
        <v>93</v>
      </c>
      <c r="M31" s="22" t="s">
        <v>93</v>
      </c>
      <c r="N31" s="22" t="s">
        <v>93</v>
      </c>
    </row>
    <row r="32" spans="2:14" x14ac:dyDescent="0.3">
      <c r="B32" s="16" t="s">
        <v>56</v>
      </c>
      <c r="C32" s="31">
        <v>0.53</v>
      </c>
      <c r="D32" s="31">
        <v>16.32</v>
      </c>
      <c r="E32" s="31">
        <v>17.86</v>
      </c>
      <c r="F32" s="32">
        <v>19.2</v>
      </c>
      <c r="G32" s="32">
        <v>20.78</v>
      </c>
      <c r="H32" s="5"/>
      <c r="I32" s="7" t="s">
        <v>18</v>
      </c>
      <c r="J32" s="22"/>
      <c r="K32" s="22"/>
      <c r="L32" s="22"/>
      <c r="M32" s="22"/>
      <c r="N32" s="22"/>
    </row>
    <row r="33" spans="2:14" x14ac:dyDescent="0.3">
      <c r="B33" s="16" t="s">
        <v>57</v>
      </c>
      <c r="C33" s="31">
        <v>0.53</v>
      </c>
      <c r="D33" s="31">
        <v>16.32</v>
      </c>
      <c r="E33" s="31">
        <v>15.71</v>
      </c>
      <c r="F33" s="32">
        <v>19.2</v>
      </c>
      <c r="G33" s="32">
        <v>20.78</v>
      </c>
      <c r="H33" s="5"/>
      <c r="I33" s="7" t="s">
        <v>101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2:14" x14ac:dyDescent="0.3">
      <c r="B34" s="14" t="s">
        <v>42</v>
      </c>
      <c r="C34" s="11" t="s">
        <v>102</v>
      </c>
      <c r="D34" s="11" t="str">
        <f>IF(D33/C33-1&gt;100%,"N.A.",IF(D33/C33-1&lt;-100%,"N.A.",(D33/C33-1)))</f>
        <v>N.A.</v>
      </c>
      <c r="E34" s="11">
        <f>IF(E33/D33-1&gt;100%,"N.A.",IF(E33/D33-1&lt;-100%,"N.A.",(E33/D33-1)))</f>
        <v>-3.7377450980392135E-2</v>
      </c>
      <c r="F34" s="11">
        <f>IF(F33/E33-1&gt;100%,"N.A.",IF(F33/E33-1&lt;-100%,"N.A.",(F33/E33-1)))</f>
        <v>0.22215149586250793</v>
      </c>
      <c r="G34" s="11">
        <f>IF(G33/F33-1&gt;100%,"N.A.",IF(G33/F33-1&lt;-100%,"N.A.",(G33/F33-1)))</f>
        <v>8.2291666666666874E-2</v>
      </c>
      <c r="H34" s="5"/>
      <c r="I34" s="7" t="s">
        <v>19</v>
      </c>
      <c r="J34" s="22">
        <v>26.056000000000001</v>
      </c>
      <c r="K34" s="22">
        <v>154.62100000000001</v>
      </c>
      <c r="L34" s="22">
        <v>530.98</v>
      </c>
      <c r="M34" s="22">
        <v>771.82</v>
      </c>
      <c r="N34" s="22">
        <v>1382</v>
      </c>
    </row>
    <row r="35" spans="2:14" x14ac:dyDescent="0.3">
      <c r="B35" s="14" t="s">
        <v>47</v>
      </c>
      <c r="C35" s="11"/>
      <c r="D35" s="11"/>
      <c r="E35" s="11" t="s">
        <v>106</v>
      </c>
      <c r="F35" s="11" t="str">
        <f>IF((F33/C33)^(1/3)-1&lt;-100%,"N.A.",IF((F33/C33)^(1/3)-1&gt;100%,"N.A.",((F33/C33)^(1/3)-1)))</f>
        <v>N.A.</v>
      </c>
      <c r="G35" s="11">
        <f>IF((G33/D33)^(1/3)-1&lt;-100%,"N.A.",IF((G33/D33)^(1/3)-1&gt;100%,"N.A.",((G33/D33)^(1/3)-1)))</f>
        <v>8.3864843412481127E-2</v>
      </c>
      <c r="H35" s="5"/>
      <c r="I35" s="7" t="s">
        <v>20</v>
      </c>
      <c r="J35" s="22">
        <v>45.067</v>
      </c>
      <c r="K35" s="22">
        <v>101.755</v>
      </c>
      <c r="L35" s="22">
        <v>29.67</v>
      </c>
      <c r="M35" s="22">
        <v>298.45999999999998</v>
      </c>
      <c r="N35" s="22">
        <v>445</v>
      </c>
    </row>
    <row r="36" spans="2:14" x14ac:dyDescent="0.3">
      <c r="H36" s="5"/>
      <c r="I36" s="7" t="s">
        <v>21</v>
      </c>
      <c r="J36" s="22">
        <v>0</v>
      </c>
      <c r="K36" s="22">
        <v>0</v>
      </c>
      <c r="L36" s="22">
        <v>398.05</v>
      </c>
      <c r="M36" s="22">
        <v>130</v>
      </c>
      <c r="N36" s="22">
        <v>294</v>
      </c>
    </row>
    <row r="37" spans="2:14" x14ac:dyDescent="0.3">
      <c r="B37" s="8" t="s">
        <v>68</v>
      </c>
      <c r="C37" s="25" t="s">
        <v>1</v>
      </c>
      <c r="D37" s="25" t="s">
        <v>2</v>
      </c>
      <c r="E37" s="25" t="s">
        <v>86</v>
      </c>
      <c r="F37" s="25" t="s">
        <v>94</v>
      </c>
      <c r="G37" s="25" t="s">
        <v>118</v>
      </c>
      <c r="H37" s="5"/>
      <c r="I37" s="7" t="s">
        <v>22</v>
      </c>
      <c r="J37" s="22" t="s">
        <v>93</v>
      </c>
      <c r="K37" s="22" t="s">
        <v>93</v>
      </c>
      <c r="L37" s="22">
        <v>0</v>
      </c>
      <c r="M37" s="22">
        <v>0</v>
      </c>
      <c r="N37" s="22">
        <v>0</v>
      </c>
    </row>
    <row r="38" spans="2:14" x14ac:dyDescent="0.3">
      <c r="B38" s="15" t="s">
        <v>63</v>
      </c>
      <c r="C38" s="23">
        <v>11.026</v>
      </c>
      <c r="D38" s="23">
        <f>C44</f>
        <v>45.066999999999993</v>
      </c>
      <c r="E38" s="23">
        <f t="shared" ref="E38:F38" si="3">D44</f>
        <v>101.75399999999999</v>
      </c>
      <c r="F38" s="23">
        <f t="shared" si="3"/>
        <v>29.653999999999996</v>
      </c>
      <c r="G38" s="23">
        <f>F44</f>
        <v>1743.654</v>
      </c>
      <c r="H38" s="5"/>
      <c r="I38" s="7" t="s">
        <v>23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</row>
    <row r="39" spans="2:14" x14ac:dyDescent="0.3">
      <c r="B39" s="16" t="s">
        <v>59</v>
      </c>
      <c r="C39" s="23">
        <v>7.875</v>
      </c>
      <c r="D39" s="23">
        <v>114.506</v>
      </c>
      <c r="E39" s="23">
        <v>-279</v>
      </c>
      <c r="F39" s="23">
        <v>200</v>
      </c>
      <c r="G39" s="23">
        <v>229</v>
      </c>
      <c r="H39" s="5"/>
      <c r="I39" s="7" t="s">
        <v>24</v>
      </c>
      <c r="J39" s="22">
        <v>10.804</v>
      </c>
      <c r="K39" s="22">
        <v>152.87200000000001</v>
      </c>
      <c r="L39" s="22">
        <v>401.6</v>
      </c>
      <c r="M39" s="22">
        <v>869.28</v>
      </c>
      <c r="N39" s="22">
        <v>1119</v>
      </c>
    </row>
    <row r="40" spans="2:14" x14ac:dyDescent="0.3">
      <c r="B40" s="16" t="s">
        <v>60</v>
      </c>
      <c r="C40" s="23">
        <v>-5.1669999999999998</v>
      </c>
      <c r="D40" s="23">
        <v>-52.228000000000002</v>
      </c>
      <c r="E40" s="23">
        <v>-319.2</v>
      </c>
      <c r="F40" s="23">
        <v>722</v>
      </c>
      <c r="G40" s="23">
        <v>-863</v>
      </c>
      <c r="H40" s="5"/>
      <c r="I40" s="9" t="s">
        <v>25</v>
      </c>
      <c r="J40" s="26">
        <f>SUM(J31:J39)</f>
        <v>81.927000000000007</v>
      </c>
      <c r="K40" s="26">
        <f>SUM(K31:K39)</f>
        <v>409.24799999999999</v>
      </c>
      <c r="L40" s="26">
        <f>SUM(L31:L39)</f>
        <v>1360.3000000000002</v>
      </c>
      <c r="M40" s="26">
        <f>SUM(M31:M39)</f>
        <v>2069.56</v>
      </c>
      <c r="N40" s="26">
        <f>SUM(N31:N39)</f>
        <v>3240</v>
      </c>
    </row>
    <row r="41" spans="2:14" x14ac:dyDescent="0.3">
      <c r="B41" s="16" t="s">
        <v>61</v>
      </c>
      <c r="C41" s="23">
        <v>30.68</v>
      </c>
      <c r="D41" s="23">
        <v>-5.4710000000000001</v>
      </c>
      <c r="E41" s="23">
        <v>525.70000000000005</v>
      </c>
      <c r="F41" s="23">
        <v>792</v>
      </c>
      <c r="G41" s="23">
        <v>782</v>
      </c>
      <c r="H41" s="5"/>
      <c r="I41" s="15" t="s">
        <v>26</v>
      </c>
      <c r="J41" s="22"/>
      <c r="K41" s="22"/>
      <c r="L41" s="22"/>
      <c r="M41" s="22"/>
      <c r="N41" s="22"/>
    </row>
    <row r="42" spans="2:14" x14ac:dyDescent="0.3">
      <c r="B42" s="16" t="s">
        <v>109</v>
      </c>
      <c r="C42" s="23">
        <v>0.65300000000000002</v>
      </c>
      <c r="D42" s="23">
        <v>-0.12</v>
      </c>
      <c r="E42" s="23">
        <v>0.4</v>
      </c>
      <c r="F42" s="23">
        <v>0</v>
      </c>
      <c r="G42" s="23">
        <v>-1</v>
      </c>
      <c r="H42" s="5"/>
      <c r="I42" s="7" t="s">
        <v>27</v>
      </c>
      <c r="J42" s="22"/>
      <c r="K42" s="22"/>
      <c r="L42" s="22"/>
      <c r="M42" s="22"/>
      <c r="N42" s="22"/>
    </row>
    <row r="43" spans="2:14" x14ac:dyDescent="0.3">
      <c r="B43" s="17" t="s">
        <v>97</v>
      </c>
      <c r="C43" s="33">
        <f>SUM(C39:C42)</f>
        <v>34.040999999999997</v>
      </c>
      <c r="D43" s="33">
        <f t="shared" ref="D43:G43" si="4">SUM(D39:D42)</f>
        <v>56.687000000000005</v>
      </c>
      <c r="E43" s="33">
        <f t="shared" si="4"/>
        <v>-72.099999999999994</v>
      </c>
      <c r="F43" s="33">
        <f t="shared" si="4"/>
        <v>1714</v>
      </c>
      <c r="G43" s="33">
        <f>SUM(G39:G42)</f>
        <v>147</v>
      </c>
      <c r="H43" s="5"/>
      <c r="I43" s="7" t="s">
        <v>28</v>
      </c>
      <c r="J43" s="22">
        <v>30.905000000000001</v>
      </c>
      <c r="K43" s="22">
        <v>25.257999999999999</v>
      </c>
      <c r="L43" s="22">
        <v>5.6</v>
      </c>
      <c r="M43" s="22">
        <v>356.97</v>
      </c>
      <c r="N43" s="22">
        <v>263</v>
      </c>
    </row>
    <row r="44" spans="2:14" x14ac:dyDescent="0.3">
      <c r="B44" s="18" t="s">
        <v>62</v>
      </c>
      <c r="C44" s="26">
        <f>C38+C43</f>
        <v>45.066999999999993</v>
      </c>
      <c r="D44" s="26">
        <f>D38+D43</f>
        <v>101.75399999999999</v>
      </c>
      <c r="E44" s="26">
        <f>E38+E43</f>
        <v>29.653999999999996</v>
      </c>
      <c r="F44" s="26">
        <f>F38+F43</f>
        <v>1743.654</v>
      </c>
      <c r="G44" s="26">
        <f>G38+G43</f>
        <v>1890.654</v>
      </c>
      <c r="H44" s="5"/>
      <c r="I44" s="7" t="s">
        <v>114</v>
      </c>
      <c r="J44" s="22"/>
      <c r="K44" s="22"/>
      <c r="L44" s="22">
        <v>124.41</v>
      </c>
      <c r="M44" s="22">
        <v>238.5</v>
      </c>
      <c r="N44" s="22">
        <v>329</v>
      </c>
    </row>
    <row r="45" spans="2:14" x14ac:dyDescent="0.3">
      <c r="H45" s="5"/>
      <c r="I45" s="7" t="s">
        <v>113</v>
      </c>
      <c r="J45" s="22">
        <v>6.3739999999999997</v>
      </c>
      <c r="K45" s="22">
        <v>19.638000000000002</v>
      </c>
      <c r="L45" s="22">
        <v>30.33</v>
      </c>
      <c r="M45" s="22">
        <v>43.88</v>
      </c>
      <c r="N45" s="22">
        <v>34</v>
      </c>
    </row>
    <row r="46" spans="2:14" x14ac:dyDescent="0.3">
      <c r="B46" s="8" t="s">
        <v>67</v>
      </c>
      <c r="C46" s="34" t="s">
        <v>1</v>
      </c>
      <c r="D46" s="25" t="s">
        <v>2</v>
      </c>
      <c r="E46" s="25" t="s">
        <v>86</v>
      </c>
      <c r="F46" s="25" t="s">
        <v>94</v>
      </c>
      <c r="G46" s="25" t="s">
        <v>118</v>
      </c>
      <c r="H46" s="5"/>
      <c r="I46" s="7" t="s">
        <v>29</v>
      </c>
      <c r="J46" s="22">
        <v>0</v>
      </c>
      <c r="K46" s="22">
        <v>0</v>
      </c>
      <c r="L46" s="22">
        <v>0</v>
      </c>
      <c r="M46" s="22">
        <v>27.46</v>
      </c>
      <c r="N46" s="22">
        <v>0</v>
      </c>
    </row>
    <row r="47" spans="2:14" x14ac:dyDescent="0.3">
      <c r="B47" s="7" t="s">
        <v>64</v>
      </c>
      <c r="C47" s="23">
        <f>C39</f>
        <v>7.875</v>
      </c>
      <c r="D47" s="23">
        <f>D39</f>
        <v>114.506</v>
      </c>
      <c r="E47" s="23">
        <f>E39</f>
        <v>-279</v>
      </c>
      <c r="F47" s="23">
        <f>F39</f>
        <v>200</v>
      </c>
      <c r="G47" s="23">
        <f>G39</f>
        <v>229</v>
      </c>
      <c r="H47" s="5"/>
      <c r="I47" s="9" t="s">
        <v>30</v>
      </c>
      <c r="J47" s="26">
        <f>SUM(J43:J46)</f>
        <v>37.279000000000003</v>
      </c>
      <c r="K47" s="26">
        <f>SUM(K43:K46)</f>
        <v>44.896000000000001</v>
      </c>
      <c r="L47" s="26">
        <f>SUM(L43:L46)</f>
        <v>160.33999999999997</v>
      </c>
      <c r="M47" s="26">
        <f>SUM(M43:M46)</f>
        <v>666.81000000000006</v>
      </c>
      <c r="N47" s="26">
        <f>SUM(N43:N46)</f>
        <v>626</v>
      </c>
    </row>
    <row r="48" spans="2:14" x14ac:dyDescent="0.3">
      <c r="B48" s="19" t="s">
        <v>65</v>
      </c>
      <c r="C48" s="23">
        <v>7.1509999999999998</v>
      </c>
      <c r="D48" s="23">
        <v>18.225000000000001</v>
      </c>
      <c r="E48" s="23">
        <v>6.5209999999999999</v>
      </c>
      <c r="F48" s="23">
        <f>222+775</f>
        <v>997</v>
      </c>
      <c r="G48" s="23">
        <v>730</v>
      </c>
      <c r="H48" s="5"/>
      <c r="I48" s="15" t="s">
        <v>31</v>
      </c>
      <c r="J48" s="22"/>
      <c r="K48" s="22"/>
      <c r="L48" s="22"/>
      <c r="M48" s="22"/>
      <c r="N48" s="22"/>
    </row>
    <row r="49" spans="2:19" x14ac:dyDescent="0.3">
      <c r="B49" s="9" t="s">
        <v>66</v>
      </c>
      <c r="C49" s="26">
        <f>C47-C48</f>
        <v>0.7240000000000002</v>
      </c>
      <c r="D49" s="26">
        <f>D47-D48</f>
        <v>96.281000000000006</v>
      </c>
      <c r="E49" s="26">
        <f>E47-E48</f>
        <v>-285.52100000000002</v>
      </c>
      <c r="F49" s="26">
        <f>F47-F48</f>
        <v>-797</v>
      </c>
      <c r="G49" s="26">
        <f>G47-G48</f>
        <v>-501</v>
      </c>
      <c r="H49" s="5"/>
      <c r="I49" s="7" t="s">
        <v>27</v>
      </c>
      <c r="J49" s="22"/>
      <c r="K49" s="22"/>
      <c r="L49" s="22"/>
      <c r="M49" s="22"/>
      <c r="N49" s="22"/>
      <c r="P49" s="39"/>
    </row>
    <row r="50" spans="2:19" x14ac:dyDescent="0.3">
      <c r="F50" s="20"/>
      <c r="G50" s="20"/>
      <c r="H50" s="5"/>
      <c r="I50" s="7" t="s">
        <v>28</v>
      </c>
      <c r="J50" s="22">
        <v>10.417999999999999</v>
      </c>
      <c r="K50" s="22">
        <v>17.449000000000002</v>
      </c>
      <c r="L50" s="22">
        <v>18.64</v>
      </c>
      <c r="M50" s="22">
        <v>155.25</v>
      </c>
      <c r="N50" s="22">
        <v>384</v>
      </c>
    </row>
    <row r="51" spans="2:19" x14ac:dyDescent="0.3">
      <c r="B51" s="8" t="s">
        <v>107</v>
      </c>
      <c r="C51" s="25" t="s">
        <v>1</v>
      </c>
      <c r="D51" s="25" t="s">
        <v>2</v>
      </c>
      <c r="E51" s="25" t="s">
        <v>86</v>
      </c>
      <c r="F51" s="35" t="s">
        <v>94</v>
      </c>
      <c r="G51" s="25" t="s">
        <v>118</v>
      </c>
      <c r="H51" s="5"/>
      <c r="I51" s="7" t="s">
        <v>117</v>
      </c>
      <c r="J51" s="22"/>
      <c r="K51" s="22"/>
      <c r="L51" s="22">
        <v>43.22</v>
      </c>
      <c r="M51" s="22">
        <v>66.819999999999993</v>
      </c>
      <c r="N51" s="22">
        <v>89</v>
      </c>
    </row>
    <row r="52" spans="2:19" x14ac:dyDescent="0.3">
      <c r="B52" s="7" t="s">
        <v>89</v>
      </c>
      <c r="C52" s="36">
        <f>1000000/10^6</f>
        <v>1</v>
      </c>
      <c r="D52" s="36">
        <f>17000000/10^6</f>
        <v>17</v>
      </c>
      <c r="E52" s="36">
        <f>23240000/10^6</f>
        <v>23.24</v>
      </c>
      <c r="F52" s="36">
        <f>23240000/10^6</f>
        <v>23.24</v>
      </c>
      <c r="G52" s="50">
        <f>25265000/10^6</f>
        <v>25.265000000000001</v>
      </c>
      <c r="H52" s="5"/>
      <c r="I52" s="7" t="s">
        <v>115</v>
      </c>
      <c r="J52" s="22">
        <v>19.981999999999999</v>
      </c>
      <c r="K52" s="22">
        <v>40.877000000000002</v>
      </c>
      <c r="L52" s="22">
        <v>60.36</v>
      </c>
      <c r="M52" s="22">
        <v>37.619999999999997</v>
      </c>
      <c r="N52" s="22">
        <v>236</v>
      </c>
    </row>
    <row r="53" spans="2:19" x14ac:dyDescent="0.3">
      <c r="B53" s="7" t="s">
        <v>90</v>
      </c>
      <c r="C53" s="22">
        <v>10</v>
      </c>
      <c r="D53" s="22">
        <v>10</v>
      </c>
      <c r="E53" s="22">
        <v>10</v>
      </c>
      <c r="F53" s="22">
        <v>10</v>
      </c>
      <c r="G53" s="22">
        <v>10</v>
      </c>
      <c r="H53" s="5"/>
      <c r="I53" s="7" t="s">
        <v>116</v>
      </c>
      <c r="J53" s="22">
        <v>0</v>
      </c>
      <c r="K53" s="22">
        <v>0</v>
      </c>
      <c r="L53" s="22">
        <v>31.66</v>
      </c>
      <c r="M53" s="22">
        <v>44.27</v>
      </c>
      <c r="N53" s="22">
        <v>59</v>
      </c>
    </row>
    <row r="54" spans="2:19" x14ac:dyDescent="0.3">
      <c r="B54" s="19" t="s">
        <v>91</v>
      </c>
      <c r="C54" s="22">
        <f>C52*J65</f>
        <v>0</v>
      </c>
      <c r="D54" s="22">
        <f>D52*K65</f>
        <v>0</v>
      </c>
      <c r="E54" s="22">
        <f>E52*L65</f>
        <v>8223.4740000000002</v>
      </c>
      <c r="F54" s="22">
        <f>F52*M65</f>
        <v>5581.0859999999993</v>
      </c>
      <c r="G54" s="22">
        <f>G52*N65</f>
        <v>4253.3627500000002</v>
      </c>
      <c r="H54" s="5"/>
      <c r="I54" s="7" t="s">
        <v>32</v>
      </c>
      <c r="J54" s="22">
        <v>47.317</v>
      </c>
      <c r="K54" s="22">
        <v>42.991</v>
      </c>
      <c r="L54" s="22">
        <v>6.52</v>
      </c>
      <c r="M54" s="22">
        <v>233.8</v>
      </c>
      <c r="N54" s="22">
        <v>328</v>
      </c>
    </row>
    <row r="55" spans="2:19" x14ac:dyDescent="0.3">
      <c r="B55" s="19" t="s">
        <v>69</v>
      </c>
      <c r="C55" s="23">
        <f>J50+J43</f>
        <v>41.323</v>
      </c>
      <c r="D55" s="23">
        <f>K50+K43</f>
        <v>42.707000000000001</v>
      </c>
      <c r="E55" s="23">
        <f>L50+L43</f>
        <v>24.240000000000002</v>
      </c>
      <c r="F55" s="23">
        <f>M50+M43</f>
        <v>512.22</v>
      </c>
      <c r="G55" s="23">
        <f>N50+N43</f>
        <v>647</v>
      </c>
      <c r="H55" s="5"/>
      <c r="I55" s="7" t="s">
        <v>33</v>
      </c>
      <c r="J55" s="22">
        <v>0.36599999999999999</v>
      </c>
      <c r="K55" s="22">
        <v>67.626999999999995</v>
      </c>
      <c r="L55" s="22">
        <v>41.82</v>
      </c>
      <c r="M55" s="22">
        <v>73.91</v>
      </c>
      <c r="N55" s="22">
        <v>206</v>
      </c>
    </row>
    <row r="56" spans="2:19" x14ac:dyDescent="0.3">
      <c r="B56" s="19" t="s">
        <v>70</v>
      </c>
      <c r="C56" s="23">
        <f>J35+J36</f>
        <v>45.067</v>
      </c>
      <c r="D56" s="23">
        <f>K35+K36</f>
        <v>101.755</v>
      </c>
      <c r="E56" s="23">
        <f>L35+L36</f>
        <v>427.72</v>
      </c>
      <c r="F56" s="23">
        <f>M35+M36</f>
        <v>428.46</v>
      </c>
      <c r="G56" s="23">
        <f>N35+N36</f>
        <v>739</v>
      </c>
      <c r="H56" s="5"/>
      <c r="I56" s="9" t="s">
        <v>34</v>
      </c>
      <c r="J56" s="26">
        <f>SUM(J50:J55)</f>
        <v>78.082999999999998</v>
      </c>
      <c r="K56" s="26">
        <f>SUM(K50:K55)</f>
        <v>168.94400000000002</v>
      </c>
      <c r="L56" s="26">
        <f>SUM(L50:L55)</f>
        <v>202.22</v>
      </c>
      <c r="M56" s="26">
        <f>SUM(M50:M55)</f>
        <v>611.66999999999996</v>
      </c>
      <c r="N56" s="26">
        <f>SUM(N50:N55)</f>
        <v>1302</v>
      </c>
    </row>
    <row r="57" spans="2:19" x14ac:dyDescent="0.3">
      <c r="B57" s="9" t="s">
        <v>71</v>
      </c>
      <c r="C57" s="26">
        <f>SUM(C54:C55)-C56</f>
        <v>-3.7439999999999998</v>
      </c>
      <c r="D57" s="26">
        <f>SUM(D54:D55)-D56</f>
        <v>-59.047999999999995</v>
      </c>
      <c r="E57" s="26">
        <f>SUM(E54:E55)-E56</f>
        <v>7819.9939999999997</v>
      </c>
      <c r="F57" s="26">
        <f>SUM(F54:F55)-F56</f>
        <v>5664.8459999999995</v>
      </c>
      <c r="G57" s="26">
        <f>SUM(G54:G55)-G56</f>
        <v>4161.3627500000002</v>
      </c>
      <c r="H57" s="5"/>
      <c r="I57" s="7"/>
      <c r="J57" s="22"/>
      <c r="K57" s="22"/>
      <c r="L57" s="22"/>
      <c r="M57" s="22"/>
      <c r="N57" s="22"/>
    </row>
    <row r="58" spans="2:19" x14ac:dyDescent="0.3">
      <c r="H58" s="5"/>
      <c r="I58" s="9" t="s">
        <v>35</v>
      </c>
      <c r="J58" s="26">
        <f>J40-J56</f>
        <v>3.8440000000000083</v>
      </c>
      <c r="K58" s="26">
        <f>K40-K56</f>
        <v>240.30399999999997</v>
      </c>
      <c r="L58" s="26">
        <f>L40-L56</f>
        <v>1158.0800000000002</v>
      </c>
      <c r="M58" s="26">
        <f>M40-M56</f>
        <v>1457.8899999999999</v>
      </c>
      <c r="N58" s="26">
        <f>N40-N56</f>
        <v>1938</v>
      </c>
      <c r="P58" s="39"/>
      <c r="Q58" s="39"/>
      <c r="R58" s="39"/>
      <c r="S58" s="39"/>
    </row>
    <row r="59" spans="2:19" x14ac:dyDescent="0.3">
      <c r="F59" s="6"/>
      <c r="G59" s="6"/>
      <c r="H59" s="5"/>
      <c r="I59" s="7"/>
      <c r="J59" s="22"/>
      <c r="K59" s="22"/>
      <c r="L59" s="22"/>
      <c r="M59" s="22"/>
      <c r="N59" s="22"/>
    </row>
    <row r="60" spans="2:19" x14ac:dyDescent="0.3">
      <c r="H60" s="5"/>
      <c r="I60" s="9" t="s">
        <v>36</v>
      </c>
      <c r="J60" s="26">
        <f>J40+J28</f>
        <v>157.108</v>
      </c>
      <c r="K60" s="26">
        <f>K40+K28</f>
        <v>534.47900000000004</v>
      </c>
      <c r="L60" s="26">
        <f>L40+L28</f>
        <v>1583.6260000000002</v>
      </c>
      <c r="M60" s="26">
        <f>M40+M28</f>
        <v>3366.49</v>
      </c>
      <c r="N60" s="26">
        <f>N40+N28</f>
        <v>5369</v>
      </c>
      <c r="O60" s="39"/>
    </row>
    <row r="61" spans="2:19" x14ac:dyDescent="0.3">
      <c r="H61" s="5"/>
      <c r="I61" s="9" t="s">
        <v>37</v>
      </c>
      <c r="J61" s="26">
        <f>J47+J56</f>
        <v>115.36199999999999</v>
      </c>
      <c r="K61" s="26">
        <f>K47+K56</f>
        <v>213.84000000000003</v>
      </c>
      <c r="L61" s="26">
        <f>L47+L56</f>
        <v>362.55999999999995</v>
      </c>
      <c r="M61" s="26">
        <f>M47+M56</f>
        <v>1278.48</v>
      </c>
      <c r="N61" s="26">
        <f>N47+N56</f>
        <v>1928</v>
      </c>
      <c r="O61" s="41"/>
    </row>
    <row r="62" spans="2:19" x14ac:dyDescent="0.3">
      <c r="H62" s="5"/>
      <c r="I62" s="9" t="s">
        <v>38</v>
      </c>
      <c r="J62" s="26">
        <f>J61+J7</f>
        <v>157.108</v>
      </c>
      <c r="K62" s="26">
        <f>K61+K7</f>
        <v>534.47900000000004</v>
      </c>
      <c r="L62" s="26">
        <f>L61+L7</f>
        <v>1583.64</v>
      </c>
      <c r="M62" s="26">
        <f>M61+M7</f>
        <v>3366.4900000000002</v>
      </c>
      <c r="N62" s="26">
        <f>N61+N7</f>
        <v>5369</v>
      </c>
    </row>
    <row r="63" spans="2:19" x14ac:dyDescent="0.3">
      <c r="H63" s="5"/>
      <c r="J63" s="6"/>
      <c r="K63" s="6"/>
      <c r="L63" s="6"/>
    </row>
    <row r="64" spans="2:19" x14ac:dyDescent="0.3">
      <c r="H64" s="5"/>
      <c r="I64" s="8" t="s">
        <v>83</v>
      </c>
      <c r="J64" s="25" t="s">
        <v>1</v>
      </c>
      <c r="K64" s="25" t="s">
        <v>2</v>
      </c>
      <c r="L64" s="25" t="s">
        <v>86</v>
      </c>
      <c r="M64" s="25" t="s">
        <v>94</v>
      </c>
      <c r="N64" s="25" t="s">
        <v>118</v>
      </c>
    </row>
    <row r="65" spans="3:14" x14ac:dyDescent="0.3">
      <c r="H65" s="5"/>
      <c r="I65" s="21" t="s">
        <v>105</v>
      </c>
      <c r="J65" s="37">
        <v>0</v>
      </c>
      <c r="K65" s="37">
        <v>0</v>
      </c>
      <c r="L65" s="37">
        <v>353.85</v>
      </c>
      <c r="M65" s="37">
        <v>240.15</v>
      </c>
      <c r="N65" s="37">
        <v>168.35</v>
      </c>
    </row>
    <row r="66" spans="3:14" x14ac:dyDescent="0.3">
      <c r="C66" t="s">
        <v>92</v>
      </c>
      <c r="H66" s="5"/>
      <c r="I66" s="21" t="s">
        <v>82</v>
      </c>
      <c r="J66" s="37">
        <f>C33</f>
        <v>0.53</v>
      </c>
      <c r="K66" s="37">
        <f>D33</f>
        <v>16.32</v>
      </c>
      <c r="L66" s="37">
        <f>E33</f>
        <v>15.71</v>
      </c>
      <c r="M66" s="37">
        <f>F33</f>
        <v>19.2</v>
      </c>
      <c r="N66" s="37">
        <f>G33</f>
        <v>20.78</v>
      </c>
    </row>
    <row r="67" spans="3:14" x14ac:dyDescent="0.3">
      <c r="H67" s="5"/>
      <c r="I67" s="21" t="s">
        <v>81</v>
      </c>
      <c r="J67" s="37">
        <f>J8/C52</f>
        <v>41.745999999999995</v>
      </c>
      <c r="K67" s="37">
        <f>K8/D52</f>
        <v>18.861117647058823</v>
      </c>
      <c r="L67" s="37">
        <f>L8/E52</f>
        <v>52.542168674698807</v>
      </c>
      <c r="M67" s="37">
        <f>M8/F52</f>
        <v>89.845524956970749</v>
      </c>
      <c r="N67" s="37">
        <f>N8/G52</f>
        <v>136.19631901840489</v>
      </c>
    </row>
    <row r="68" spans="3:14" x14ac:dyDescent="0.3">
      <c r="H68" s="5"/>
      <c r="I68" s="21" t="s">
        <v>72</v>
      </c>
      <c r="J68" s="37">
        <f>J65/J66</f>
        <v>0</v>
      </c>
      <c r="K68" s="37">
        <f>K65/K66</f>
        <v>0</v>
      </c>
      <c r="L68" s="37">
        <f>L65/L66</f>
        <v>22.523870146403564</v>
      </c>
      <c r="M68" s="37">
        <f>M65/M66</f>
        <v>12.5078125</v>
      </c>
      <c r="N68" s="37">
        <f>N65/N66</f>
        <v>8.101539942252165</v>
      </c>
    </row>
    <row r="69" spans="3:14" x14ac:dyDescent="0.3">
      <c r="H69" s="5"/>
      <c r="I69" s="21" t="s">
        <v>73</v>
      </c>
      <c r="J69" s="37">
        <f>J65/J67</f>
        <v>0</v>
      </c>
      <c r="K69" s="37">
        <f>K65/K67</f>
        <v>0</v>
      </c>
      <c r="L69" s="37">
        <f>L65/L67</f>
        <v>6.734590690208667</v>
      </c>
      <c r="M69" s="37">
        <f>M65/M67</f>
        <v>2.6729211066996803</v>
      </c>
      <c r="N69" s="37">
        <f>N65/N67</f>
        <v>1.2360833333333334</v>
      </c>
    </row>
    <row r="70" spans="3:14" x14ac:dyDescent="0.3">
      <c r="H70" s="5"/>
      <c r="I70" s="21" t="s">
        <v>74</v>
      </c>
      <c r="J70" s="37">
        <v>0</v>
      </c>
      <c r="K70" s="37">
        <f>D57/D11</f>
        <v>-0.15371679227354965</v>
      </c>
      <c r="L70" s="37">
        <f>E57/E11</f>
        <v>15.985269828291086</v>
      </c>
      <c r="M70" s="37">
        <f>F57/F11</f>
        <v>7.9298486778560138</v>
      </c>
      <c r="N70" s="37">
        <f>G57/G11</f>
        <v>4.8842285798122065</v>
      </c>
    </row>
    <row r="71" spans="3:14" x14ac:dyDescent="0.3">
      <c r="H71" s="5"/>
      <c r="I71" s="21" t="s">
        <v>75</v>
      </c>
      <c r="J71" s="38">
        <f>C23/AVERAGE(I8:J8)</f>
        <v>0.21887126910362689</v>
      </c>
      <c r="K71" s="38">
        <f>D23/AVERAGE(J8:K8)</f>
        <v>1.5398650606399271</v>
      </c>
      <c r="L71" s="38">
        <f>E23/AVERAGE(K8:L8)</f>
        <v>0.47232991226027587</v>
      </c>
      <c r="M71" s="38">
        <f>F23/AVERAGE(L8:M8)</f>
        <v>0.26988688733156241</v>
      </c>
      <c r="N71" s="38">
        <f>G23/AVERAGE(M8:N8)</f>
        <v>0.18303457581013599</v>
      </c>
    </row>
    <row r="72" spans="3:14" x14ac:dyDescent="0.3">
      <c r="H72" s="5"/>
      <c r="I72" s="21" t="s">
        <v>76</v>
      </c>
      <c r="J72" s="38">
        <f>+(C11-C16+C15)/J14</f>
        <v>0.17041254860417254</v>
      </c>
      <c r="K72" s="38">
        <f>+(D11-D16+D15)/K14</f>
        <v>1.0535357482950136</v>
      </c>
      <c r="L72" s="38">
        <f>+(E11-E16+E15)/L14</f>
        <v>0.40945266320892365</v>
      </c>
      <c r="M72" s="38">
        <f>+(F11-F16+F15)/M14</f>
        <v>0.23580221749614447</v>
      </c>
      <c r="N72" s="38">
        <f>+(G11-G16+G15)/N14</f>
        <v>0.19447162426614481</v>
      </c>
    </row>
    <row r="73" spans="3:14" x14ac:dyDescent="0.3">
      <c r="H73" s="5"/>
      <c r="I73" s="21" t="s">
        <v>77</v>
      </c>
      <c r="J73" s="37">
        <f>J12/J8</f>
        <v>0.98986729267474738</v>
      </c>
      <c r="K73" s="37">
        <f>K12/K8</f>
        <v>0.13319340442054772</v>
      </c>
      <c r="L73" s="37">
        <f>L12/L8</f>
        <v>1.9852098142627835E-2</v>
      </c>
      <c r="M73" s="37">
        <f>M12/M8</f>
        <v>0.24531491707415193</v>
      </c>
      <c r="N73" s="37">
        <f>N12/N8</f>
        <v>0.18802673641383319</v>
      </c>
    </row>
    <row r="74" spans="3:14" x14ac:dyDescent="0.3">
      <c r="H74" s="5"/>
      <c r="I74" s="21" t="s">
        <v>78</v>
      </c>
      <c r="J74" s="37">
        <f>(J12 -C56)/J8</f>
        <v>-8.9685239304364492E-2</v>
      </c>
      <c r="K74" s="37">
        <f>(K12 -D56)/K8</f>
        <v>-0.1841572609695015</v>
      </c>
      <c r="L74" s="37">
        <f>(L12 -E56)/L8</f>
        <v>-0.33042798178661514</v>
      </c>
      <c r="M74" s="42">
        <f>(M12 -F56)/M8</f>
        <v>4.0114750408283502E-2</v>
      </c>
      <c r="N74" s="42">
        <f>(N12 -G56)/N8</f>
        <v>-2.6736413833188026E-2</v>
      </c>
    </row>
    <row r="75" spans="3:14" x14ac:dyDescent="0.3">
      <c r="H75" s="5"/>
      <c r="I75" s="21" t="s">
        <v>80</v>
      </c>
      <c r="J75" s="37">
        <f>(C11+C15)/C17</f>
        <v>19.983529411764714</v>
      </c>
      <c r="K75" s="37">
        <f t="shared" ref="K75:N75" si="5">(D11+D15)/D17</f>
        <v>50.0065662417922</v>
      </c>
      <c r="L75" s="37">
        <f t="shared" si="5"/>
        <v>100.07692307692309</v>
      </c>
      <c r="M75" s="37">
        <f t="shared" si="5"/>
        <v>11.742852579460148</v>
      </c>
      <c r="N75" s="37">
        <f>(G11+G15)/G17</f>
        <v>9.4851485148514847</v>
      </c>
    </row>
    <row r="76" spans="3:14" x14ac:dyDescent="0.3">
      <c r="I76" s="21" t="s">
        <v>79</v>
      </c>
      <c r="J76" s="40">
        <f>AVERAGE(J34:J34)/C5*365</f>
        <v>37.802244975833119</v>
      </c>
      <c r="K76" s="40">
        <f>AVERAGE(J34:K34)/D5*365</f>
        <v>41.915142104607504</v>
      </c>
      <c r="L76" s="40">
        <f>AVERAGE(K34:L34)/E5*365</f>
        <v>121.86829891886626</v>
      </c>
      <c r="M76" s="40">
        <f>AVERAGE(L34:M34)/F5*365</f>
        <v>78.187707586569772</v>
      </c>
      <c r="N76" s="40">
        <f>AVERAGE(M34:N34)/G5*365</f>
        <v>96.388462481608641</v>
      </c>
    </row>
    <row r="77" spans="3:14" x14ac:dyDescent="0.3">
      <c r="J77" s="1"/>
      <c r="K77" s="1"/>
      <c r="L77" s="1"/>
      <c r="M77" s="3"/>
      <c r="N77" s="2"/>
    </row>
    <row r="78" spans="3:14" x14ac:dyDescent="0.3">
      <c r="M78" s="1"/>
      <c r="N78" s="2">
        <f>AVERAGE(M58:N58)/G5*365</f>
        <v>151.97398847474253</v>
      </c>
    </row>
    <row r="79" spans="3:14" x14ac:dyDescent="0.3">
      <c r="N79" s="2"/>
    </row>
    <row r="80" spans="3:14" x14ac:dyDescent="0.3">
      <c r="N80" s="2"/>
    </row>
    <row r="81" spans="6:14" x14ac:dyDescent="0.3">
      <c r="N81" s="2"/>
    </row>
    <row r="82" spans="6:14" x14ac:dyDescent="0.3">
      <c r="N82" s="2"/>
    </row>
    <row r="83" spans="6:14" x14ac:dyDescent="0.3">
      <c r="N83" s="2"/>
    </row>
    <row r="84" spans="6:14" x14ac:dyDescent="0.3">
      <c r="N84" s="2"/>
    </row>
    <row r="85" spans="6:14" x14ac:dyDescent="0.3">
      <c r="N85" s="2"/>
    </row>
    <row r="86" spans="6:14" x14ac:dyDescent="0.3">
      <c r="N86" s="2"/>
    </row>
    <row r="88" spans="6:14" x14ac:dyDescent="0.3">
      <c r="F88" s="6"/>
      <c r="G88" s="6"/>
      <c r="N88" s="1"/>
    </row>
  </sheetData>
  <mergeCells count="3">
    <mergeCell ref="B3:G3"/>
    <mergeCell ref="B2:N2"/>
    <mergeCell ref="I3:N3"/>
  </mergeCells>
  <pageMargins left="0.7" right="0.7" top="0.75" bottom="0.75" header="0.3" footer="0.3"/>
  <pageSetup scale="35" fitToWidth="0" orientation="portrait" r:id="rId1"/>
  <colBreaks count="1" manualBreakCount="1">
    <brk id="8" max="1048575" man="1"/>
  </colBreaks>
  <ignoredErrors>
    <ignoredError sqref="K76:M76 C43:D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2F9B-7589-4DD5-AE56-83C71AB79F74}">
  <dimension ref="A2:G18"/>
  <sheetViews>
    <sheetView workbookViewId="0">
      <selection activeCell="B13" sqref="B13"/>
    </sheetView>
  </sheetViews>
  <sheetFormatPr defaultRowHeight="14.4" x14ac:dyDescent="0.3"/>
  <cols>
    <col min="1" max="1" width="33.33203125" bestFit="1" customWidth="1"/>
    <col min="2" max="2" width="14.88671875" bestFit="1" customWidth="1"/>
    <col min="3" max="3" width="12.21875" bestFit="1" customWidth="1"/>
    <col min="5" max="5" width="14.88671875" bestFit="1" customWidth="1"/>
  </cols>
  <sheetData>
    <row r="2" spans="1:7" x14ac:dyDescent="0.3">
      <c r="A2" t="s">
        <v>120</v>
      </c>
      <c r="B2" s="48">
        <v>23240000</v>
      </c>
    </row>
    <row r="3" spans="1:7" x14ac:dyDescent="0.3">
      <c r="A3" t="s">
        <v>121</v>
      </c>
      <c r="B3" s="48">
        <v>2025000</v>
      </c>
    </row>
    <row r="4" spans="1:7" x14ac:dyDescent="0.3">
      <c r="B4" s="48">
        <f>SUM(B2:B3)</f>
        <v>25265000</v>
      </c>
    </row>
    <row r="6" spans="1:7" x14ac:dyDescent="0.3">
      <c r="B6">
        <v>2025</v>
      </c>
      <c r="C6">
        <v>2026</v>
      </c>
    </row>
    <row r="7" spans="1:7" x14ac:dyDescent="0.3">
      <c r="A7" t="s">
        <v>122</v>
      </c>
      <c r="B7">
        <v>456000000</v>
      </c>
      <c r="C7">
        <v>535000000</v>
      </c>
    </row>
    <row r="8" spans="1:7" x14ac:dyDescent="0.3">
      <c r="A8" t="s">
        <v>123</v>
      </c>
      <c r="B8" s="39">
        <f>B7/B2</f>
        <v>19.621342512908779</v>
      </c>
      <c r="C8" s="39">
        <f>C7/B4</f>
        <v>21.175539283593906</v>
      </c>
    </row>
    <row r="10" spans="1:7" x14ac:dyDescent="0.3">
      <c r="E10">
        <v>517000000</v>
      </c>
      <c r="G10">
        <f>488+18+29</f>
        <v>535</v>
      </c>
    </row>
    <row r="11" spans="1:7" x14ac:dyDescent="0.3">
      <c r="B11">
        <v>16.11</v>
      </c>
      <c r="E11" s="39">
        <f>E10/B4</f>
        <v>20.463091232930932</v>
      </c>
    </row>
    <row r="13" spans="1:7" x14ac:dyDescent="0.3">
      <c r="B13" s="48">
        <v>374300000</v>
      </c>
    </row>
    <row r="14" spans="1:7" x14ac:dyDescent="0.3">
      <c r="B14">
        <f>B13/B2</f>
        <v>16.105851979345957</v>
      </c>
      <c r="E14" s="39">
        <f>B4*20.78</f>
        <v>525006700</v>
      </c>
    </row>
    <row r="16" spans="1:7" x14ac:dyDescent="0.3">
      <c r="B16" t="s">
        <v>118</v>
      </c>
      <c r="C16" t="s">
        <v>94</v>
      </c>
    </row>
    <row r="17" spans="2:3" x14ac:dyDescent="0.3">
      <c r="B17">
        <v>20.78</v>
      </c>
      <c r="C17">
        <v>19.2</v>
      </c>
    </row>
    <row r="18" spans="2:3" x14ac:dyDescent="0.3">
      <c r="B18" s="49">
        <f>B17*B4</f>
        <v>525006700</v>
      </c>
      <c r="C18" s="49">
        <f>C17*B2</f>
        <v>446208000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2026-01-07T08:23:42Z</cp:lastPrinted>
  <dcterms:created xsi:type="dcterms:W3CDTF">2023-11-23T05:15:14Z</dcterms:created>
  <dcterms:modified xsi:type="dcterms:W3CDTF">2026-06-04T09:12:24Z</dcterms:modified>
</cp:coreProperties>
</file>