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4E8B38A2-41D6-4AD8-9F65-5A2FC8B9C7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Sheet1!$B$2:$Q$68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3" i="1" l="1"/>
  <c r="T62" i="1"/>
  <c r="T65" i="1" s="1"/>
  <c r="T66" i="1"/>
  <c r="T64" i="1" l="1"/>
  <c r="J47" i="1"/>
  <c r="I47" i="1"/>
  <c r="S25" i="1"/>
  <c r="T25" i="1"/>
  <c r="T35" i="1"/>
  <c r="J51" i="1"/>
  <c r="I51" i="1"/>
  <c r="J45" i="1" l="1"/>
  <c r="T67" i="1"/>
  <c r="T61" i="1"/>
  <c r="T51" i="1"/>
  <c r="T54" i="1" s="1"/>
  <c r="J53" i="1"/>
  <c r="J41" i="1"/>
  <c r="J42" i="1" s="1"/>
  <c r="T41" i="1"/>
  <c r="T12" i="1" s="1"/>
  <c r="T33" i="1"/>
  <c r="T15" i="1"/>
  <c r="T11" i="1"/>
  <c r="J52" i="1" s="1"/>
  <c r="J54" i="1" s="1"/>
  <c r="T56" i="1" s="1"/>
  <c r="T8" i="1"/>
  <c r="T52" i="1" s="1"/>
  <c r="I34" i="1"/>
  <c r="J34" i="1"/>
  <c r="I33" i="1"/>
  <c r="J33" i="1"/>
  <c r="J23" i="1"/>
  <c r="J8" i="1"/>
  <c r="J14" i="1" s="1"/>
  <c r="T69" i="1" s="1"/>
  <c r="J7" i="1"/>
  <c r="J6" i="1"/>
  <c r="T58" i="1" l="1"/>
  <c r="T45" i="1"/>
  <c r="T59" i="1"/>
  <c r="T60" i="1"/>
  <c r="T68" i="1"/>
  <c r="T40" i="1"/>
  <c r="T46" i="1"/>
  <c r="T13" i="1"/>
  <c r="J22" i="1"/>
  <c r="J25" i="1" s="1"/>
  <c r="T57" i="1" s="1"/>
  <c r="J24" i="1"/>
  <c r="J17" i="1"/>
  <c r="H46" i="1"/>
  <c r="I53" i="1"/>
  <c r="I45" i="1"/>
  <c r="I41" i="1"/>
  <c r="I42" i="1" s="1"/>
  <c r="S41" i="1"/>
  <c r="S33" i="1"/>
  <c r="S15" i="1"/>
  <c r="S11" i="1"/>
  <c r="I52" i="1" s="1"/>
  <c r="S8" i="1"/>
  <c r="S52" i="1" s="1"/>
  <c r="R8" i="1"/>
  <c r="R11" i="1"/>
  <c r="R15" i="1"/>
  <c r="S51" i="1"/>
  <c r="S54" i="1" s="1"/>
  <c r="S61" i="1"/>
  <c r="S62" i="1"/>
  <c r="S67" i="1"/>
  <c r="I28" i="1"/>
  <c r="I7" i="1"/>
  <c r="I6" i="1"/>
  <c r="I8" i="1"/>
  <c r="I14" i="1" s="1"/>
  <c r="S69" i="1" s="1"/>
  <c r="I23" i="1"/>
  <c r="G28" i="1"/>
  <c r="G23" i="1"/>
  <c r="R67" i="1"/>
  <c r="R62" i="1"/>
  <c r="R61" i="1"/>
  <c r="R51" i="1"/>
  <c r="H51" i="1"/>
  <c r="H41" i="1"/>
  <c r="R29" i="1"/>
  <c r="H34" i="1"/>
  <c r="H33" i="1"/>
  <c r="H28" i="1"/>
  <c r="H23" i="1"/>
  <c r="H7" i="1"/>
  <c r="H6" i="1"/>
  <c r="G7" i="1"/>
  <c r="G6" i="1"/>
  <c r="H8" i="1"/>
  <c r="R64" i="1" s="1"/>
  <c r="T70" i="1" l="1"/>
  <c r="I54" i="1"/>
  <c r="S56" i="1" s="1"/>
  <c r="J15" i="1"/>
  <c r="S68" i="1"/>
  <c r="S12" i="1"/>
  <c r="S58" i="1" s="1"/>
  <c r="J26" i="1"/>
  <c r="J29" i="1"/>
  <c r="S64" i="1"/>
  <c r="S45" i="1"/>
  <c r="S13" i="1" s="1"/>
  <c r="S59" i="1"/>
  <c r="S46" i="1"/>
  <c r="S60" i="1"/>
  <c r="S40" i="1"/>
  <c r="S63" i="1"/>
  <c r="I22" i="1"/>
  <c r="I25" i="1" s="1"/>
  <c r="I17" i="1"/>
  <c r="H14" i="1"/>
  <c r="I15" i="1" s="1"/>
  <c r="R63" i="1"/>
  <c r="R65" i="1" s="1"/>
  <c r="R54" i="1"/>
  <c r="R41" i="1"/>
  <c r="R12" i="1" s="1"/>
  <c r="R33" i="1"/>
  <c r="G45" i="1"/>
  <c r="H45" i="1"/>
  <c r="H42" i="1"/>
  <c r="S65" i="1" l="1"/>
  <c r="H22" i="1"/>
  <c r="R69" i="1"/>
  <c r="I29" i="1"/>
  <c r="J30" i="1" s="1"/>
  <c r="S57" i="1"/>
  <c r="I24" i="1"/>
  <c r="S70" i="1" s="1"/>
  <c r="R52" i="1"/>
  <c r="R55" i="1" s="1"/>
  <c r="R58" i="1"/>
  <c r="R68" i="1"/>
  <c r="R59" i="1"/>
  <c r="H52" i="1"/>
  <c r="R25" i="1"/>
  <c r="R45" i="1" s="1"/>
  <c r="R13" i="1" s="1"/>
  <c r="H53" i="1"/>
  <c r="R46" i="1"/>
  <c r="R60" i="1"/>
  <c r="H47" i="1"/>
  <c r="H54" i="1" l="1"/>
  <c r="R56" i="1" s="1"/>
  <c r="I26" i="1"/>
  <c r="R40" i="1"/>
  <c r="S66" i="1" s="1"/>
  <c r="H17" i="1"/>
  <c r="H24" i="1" l="1"/>
  <c r="R70" i="1" s="1"/>
  <c r="H25" i="1"/>
  <c r="Q51" i="1"/>
  <c r="O62" i="1"/>
  <c r="P62" i="1"/>
  <c r="Q62" i="1"/>
  <c r="O67" i="1"/>
  <c r="P67" i="1"/>
  <c r="Q67" i="1"/>
  <c r="N67" i="1"/>
  <c r="N62" i="1"/>
  <c r="R57" i="1" l="1"/>
  <c r="H29" i="1"/>
  <c r="I30" i="1" s="1"/>
  <c r="H26" i="1"/>
  <c r="G51" i="1"/>
  <c r="F34" i="1"/>
  <c r="Q41" i="1"/>
  <c r="Q33" i="1"/>
  <c r="N41" i="1"/>
  <c r="O41" i="1"/>
  <c r="P41" i="1"/>
  <c r="M41" i="1"/>
  <c r="N33" i="1"/>
  <c r="O33" i="1"/>
  <c r="P33" i="1"/>
  <c r="M33" i="1"/>
  <c r="Q29" i="1"/>
  <c r="G53" i="1" s="1"/>
  <c r="Q61" i="1"/>
  <c r="G33" i="1"/>
  <c r="G34" i="1"/>
  <c r="G8" i="1"/>
  <c r="G14" i="1" l="1"/>
  <c r="J16" i="1" s="1"/>
  <c r="Q63" i="1"/>
  <c r="Q64" i="1"/>
  <c r="Q65" i="1" s="1"/>
  <c r="O11" i="1"/>
  <c r="O8" i="1"/>
  <c r="O25" i="1"/>
  <c r="Q69" i="1" l="1"/>
  <c r="G22" i="1"/>
  <c r="H15" i="1"/>
  <c r="O12" i="1"/>
  <c r="O46" i="1"/>
  <c r="Q54" i="1"/>
  <c r="P29" i="1" l="1"/>
  <c r="F46" i="1"/>
  <c r="C41" i="1" l="1"/>
  <c r="C42" i="1" s="1"/>
  <c r="C45" i="1"/>
  <c r="C47" i="1" s="1"/>
  <c r="G41" i="1"/>
  <c r="G42" i="1" s="1"/>
  <c r="G47" i="1"/>
  <c r="Q8" i="1"/>
  <c r="Q46" i="1" s="1"/>
  <c r="Q11" i="1"/>
  <c r="G52" i="1" s="1"/>
  <c r="Q15" i="1"/>
  <c r="Q25" i="1"/>
  <c r="Q12" i="1" l="1"/>
  <c r="Q58" i="1" s="1"/>
  <c r="Q40" i="1"/>
  <c r="R66" i="1" s="1"/>
  <c r="G54" i="1"/>
  <c r="Q56" i="1" s="1"/>
  <c r="Q59" i="1"/>
  <c r="Q60" i="1"/>
  <c r="Q68" i="1"/>
  <c r="Q52" i="1"/>
  <c r="Q55" i="1" s="1"/>
  <c r="Q45" i="1"/>
  <c r="Q13" i="1" s="1"/>
  <c r="G17" i="1"/>
  <c r="M67" i="1"/>
  <c r="M51" i="1"/>
  <c r="M54" i="1" s="1"/>
  <c r="C51" i="1"/>
  <c r="D53" i="1"/>
  <c r="E53" i="1"/>
  <c r="C53" i="1"/>
  <c r="P25" i="1"/>
  <c r="P8" i="1"/>
  <c r="O68" i="1"/>
  <c r="P11" i="1"/>
  <c r="F52" i="1" s="1"/>
  <c r="O15" i="1"/>
  <c r="P15" i="1"/>
  <c r="O40" i="1"/>
  <c r="N8" i="1"/>
  <c r="N11" i="1"/>
  <c r="D52" i="1" s="1"/>
  <c r="N15" i="1"/>
  <c r="N25" i="1"/>
  <c r="M25" i="1"/>
  <c r="M40" i="1" s="1"/>
  <c r="C8" i="1"/>
  <c r="P61" i="1"/>
  <c r="O61" i="1"/>
  <c r="N61" i="1"/>
  <c r="M61" i="1"/>
  <c r="F51" i="1"/>
  <c r="E51" i="1"/>
  <c r="D51" i="1"/>
  <c r="P51" i="1"/>
  <c r="P54" i="1" s="1"/>
  <c r="O51" i="1"/>
  <c r="O54" i="1" s="1"/>
  <c r="N51" i="1"/>
  <c r="N54" i="1" s="1"/>
  <c r="F45" i="1"/>
  <c r="F47" i="1" s="1"/>
  <c r="E45" i="1"/>
  <c r="E47" i="1" s="1"/>
  <c r="D45" i="1"/>
  <c r="D47" i="1" s="1"/>
  <c r="F41" i="1"/>
  <c r="F42" i="1" s="1"/>
  <c r="E41" i="1"/>
  <c r="E42" i="1" s="1"/>
  <c r="D41" i="1"/>
  <c r="D42" i="1" s="1"/>
  <c r="F33" i="1"/>
  <c r="E33" i="1"/>
  <c r="D33" i="1"/>
  <c r="M15" i="1"/>
  <c r="F8" i="1"/>
  <c r="E8" i="1"/>
  <c r="D8" i="1"/>
  <c r="F7" i="1"/>
  <c r="F6" i="1"/>
  <c r="E6" i="1"/>
  <c r="D6" i="1"/>
  <c r="N64" i="1" l="1"/>
  <c r="N63" i="1"/>
  <c r="O64" i="1"/>
  <c r="O63" i="1"/>
  <c r="P63" i="1"/>
  <c r="P64" i="1"/>
  <c r="N12" i="1"/>
  <c r="N46" i="1"/>
  <c r="P46" i="1"/>
  <c r="P12" i="1"/>
  <c r="G25" i="1"/>
  <c r="Q57" i="1" s="1"/>
  <c r="G24" i="1"/>
  <c r="Q70" i="1" s="1"/>
  <c r="N40" i="1"/>
  <c r="O66" i="1" s="1"/>
  <c r="P40" i="1"/>
  <c r="E52" i="1"/>
  <c r="E54" i="1" s="1"/>
  <c r="F53" i="1"/>
  <c r="F54" i="1" s="1"/>
  <c r="P52" i="1"/>
  <c r="P55" i="1" s="1"/>
  <c r="F14" i="1"/>
  <c r="C14" i="1"/>
  <c r="M69" i="1" s="1"/>
  <c r="P45" i="1"/>
  <c r="P13" i="1" s="1"/>
  <c r="O45" i="1"/>
  <c r="O13" i="1" s="1"/>
  <c r="N45" i="1"/>
  <c r="N13" i="1" s="1"/>
  <c r="N52" i="1"/>
  <c r="N55" i="1" s="1"/>
  <c r="M11" i="1"/>
  <c r="M68" i="1" s="1"/>
  <c r="M8" i="1"/>
  <c r="M45" i="1"/>
  <c r="M13" i="1" s="1"/>
  <c r="E14" i="1"/>
  <c r="P60" i="1"/>
  <c r="N59" i="1"/>
  <c r="D14" i="1"/>
  <c r="O59" i="1"/>
  <c r="N60" i="1"/>
  <c r="P68" i="1"/>
  <c r="P59" i="1"/>
  <c r="O60" i="1"/>
  <c r="O52" i="1"/>
  <c r="O55" i="1" s="1"/>
  <c r="D54" i="1"/>
  <c r="N68" i="1"/>
  <c r="G15" i="1" l="1"/>
  <c r="I16" i="1"/>
  <c r="E17" i="1"/>
  <c r="H16" i="1"/>
  <c r="O65" i="1"/>
  <c r="P65" i="1"/>
  <c r="Q66" i="1"/>
  <c r="P66" i="1"/>
  <c r="M12" i="1"/>
  <c r="M46" i="1"/>
  <c r="P69" i="1"/>
  <c r="N66" i="1"/>
  <c r="N69" i="1"/>
  <c r="G16" i="1"/>
  <c r="F16" i="1"/>
  <c r="C22" i="1"/>
  <c r="C24" i="1" s="1"/>
  <c r="M70" i="1" s="1"/>
  <c r="P56" i="1"/>
  <c r="P58" i="1"/>
  <c r="F17" i="1"/>
  <c r="C17" i="1"/>
  <c r="F22" i="1"/>
  <c r="F24" i="1" s="1"/>
  <c r="P70" i="1" s="1"/>
  <c r="N65" i="1"/>
  <c r="G29" i="1"/>
  <c r="G26" i="1"/>
  <c r="M58" i="1"/>
  <c r="M52" i="1"/>
  <c r="M55" i="1" s="1"/>
  <c r="C52" i="1"/>
  <c r="C54" i="1" s="1"/>
  <c r="M56" i="1" s="1"/>
  <c r="M60" i="1"/>
  <c r="M59" i="1"/>
  <c r="D17" i="1"/>
  <c r="N56" i="1"/>
  <c r="O56" i="1"/>
  <c r="E15" i="1"/>
  <c r="D22" i="1"/>
  <c r="D25" i="1" s="1"/>
  <c r="O58" i="1"/>
  <c r="N58" i="1"/>
  <c r="D15" i="1"/>
  <c r="O69" i="1"/>
  <c r="E22" i="1"/>
  <c r="E25" i="1" s="1"/>
  <c r="F15" i="1"/>
  <c r="H30" i="1" l="1"/>
  <c r="J31" i="1"/>
  <c r="F25" i="1"/>
  <c r="F26" i="1" s="1"/>
  <c r="C25" i="1"/>
  <c r="M57" i="1" s="1"/>
  <c r="D24" i="1"/>
  <c r="N70" i="1" s="1"/>
  <c r="E24" i="1"/>
  <c r="O70" i="1" s="1"/>
  <c r="E29" i="1"/>
  <c r="H31" i="1" s="1"/>
  <c r="E26" i="1"/>
  <c r="O57" i="1"/>
  <c r="N57" i="1"/>
  <c r="D26" i="1"/>
  <c r="D29" i="1"/>
  <c r="G31" i="1" s="1"/>
  <c r="P57" i="1" l="1"/>
  <c r="F29" i="1"/>
  <c r="C29" i="1"/>
  <c r="D30" i="1" s="1"/>
  <c r="C26" i="1"/>
  <c r="E30" i="1"/>
  <c r="G30" i="1" l="1"/>
  <c r="I31" i="1"/>
  <c r="F30" i="1"/>
  <c r="F31" i="1"/>
</calcChain>
</file>

<file path=xl/sharedStrings.xml><?xml version="1.0" encoding="utf-8"?>
<sst xmlns="http://schemas.openxmlformats.org/spreadsheetml/2006/main" count="168" uniqueCount="114">
  <si>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</si>
  <si>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</si>
  <si>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</si>
  <si>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</si>
  <si>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</si>
  <si>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</si>
  <si>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</si>
  <si>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Operational Income </t>
  </si>
  <si>
    <t>Growth (%)</t>
  </si>
  <si>
    <t>CAGR (%) - 3 Years</t>
  </si>
  <si>
    <t>Networth/Shareholders Fund/ Book Value</t>
  </si>
  <si>
    <t>Expenditure</t>
  </si>
  <si>
    <t>Long Term Debt</t>
  </si>
  <si>
    <t>Short Term Debt</t>
  </si>
  <si>
    <t>Other Expenses</t>
  </si>
  <si>
    <t>Loans</t>
  </si>
  <si>
    <t>EBITDA</t>
  </si>
  <si>
    <t>Capital Employed</t>
  </si>
  <si>
    <t>EBITDA margin (%)</t>
  </si>
  <si>
    <t>NON CURRENT ASSETS</t>
  </si>
  <si>
    <t>Other Income</t>
  </si>
  <si>
    <t>Property, plant and Equipment</t>
  </si>
  <si>
    <t>Capital WIP</t>
  </si>
  <si>
    <t>Finance cost</t>
  </si>
  <si>
    <t>PBT</t>
  </si>
  <si>
    <t>Financial Assets</t>
  </si>
  <si>
    <t>Tax</t>
  </si>
  <si>
    <t>a) Investments</t>
  </si>
  <si>
    <t>Effective tax rate (%)</t>
  </si>
  <si>
    <t xml:space="preserve">b) Loans </t>
  </si>
  <si>
    <t>PAT</t>
  </si>
  <si>
    <t>PAT margin (%)</t>
  </si>
  <si>
    <t>CURRENT ASSETS, LOANS &amp; ADVANCES</t>
  </si>
  <si>
    <t>Minority Interest</t>
  </si>
  <si>
    <t>Other Comprehensive Income</t>
  </si>
  <si>
    <t>PAT After MI</t>
  </si>
  <si>
    <t>CAGR (%)</t>
  </si>
  <si>
    <t>EPS</t>
  </si>
  <si>
    <t xml:space="preserve">Other Current Assets </t>
  </si>
  <si>
    <t>CURRENT LIABILITIES &amp; PROVISIONS</t>
  </si>
  <si>
    <t>Financial Liabilities</t>
  </si>
  <si>
    <t>a) Trade payables</t>
  </si>
  <si>
    <t>b) Oher financial liabilities</t>
  </si>
  <si>
    <t>Other Current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</si>
  <si>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</si>
  <si>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</si>
  <si>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</si>
  <si>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</si>
  <si>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Deferred Tax Liability (Net)</t>
  </si>
  <si>
    <t>Cash Flow From Financing Activities</t>
  </si>
  <si>
    <t>TOTAL ASSETS</t>
  </si>
  <si>
    <t>Net Inc./(Dec.) in Cash and Cash Equivalents</t>
  </si>
  <si>
    <t>TOTAL LIABILITIES</t>
  </si>
  <si>
    <t>Cash and Cash Equivalents at end of the year</t>
  </si>
  <si>
    <t>KEY RATIOS</t>
  </si>
  <si>
    <t>Our Calculations</t>
  </si>
  <si>
    <t xml:space="preserve">Operating Cash Inflow </t>
  </si>
  <si>
    <t>CMP(INR)</t>
  </si>
  <si>
    <t>Capital Expenditure</t>
  </si>
  <si>
    <t>EPS (INR)</t>
  </si>
  <si>
    <t>FCF</t>
  </si>
  <si>
    <t>BVPS (INR)</t>
  </si>
  <si>
    <t>DPS (INR)</t>
  </si>
  <si>
    <t>P/E (x)</t>
  </si>
  <si>
    <t>No of Shares</t>
  </si>
  <si>
    <t>P/BV (x)</t>
  </si>
  <si>
    <t>Market Cap</t>
  </si>
  <si>
    <t>EV/EBIDTA (x)</t>
  </si>
  <si>
    <t>Total Debt</t>
  </si>
  <si>
    <t>ROE (%)</t>
  </si>
  <si>
    <t>Cash</t>
  </si>
  <si>
    <t>ROCE (%)</t>
  </si>
  <si>
    <t>EV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</si>
  <si>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</si>
  <si>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</si>
  <si>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</si>
  <si>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</si>
  <si>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</si>
  <si>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</si>
  <si>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</si>
  <si>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</si>
  <si>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Cost</t>
  </si>
  <si>
    <t xml:space="preserve">Interest Coverage </t>
  </si>
  <si>
    <t>Cost of debt</t>
  </si>
  <si>
    <t>Cost of material consumed</t>
  </si>
  <si>
    <t>Purchases of stock in trade</t>
  </si>
  <si>
    <t>Changes in inventories</t>
  </si>
  <si>
    <t>Employee benefit expense</t>
  </si>
  <si>
    <t>Depreciation and amotization expense</t>
  </si>
  <si>
    <t>Exception item</t>
  </si>
  <si>
    <t>Equity Share Capital</t>
  </si>
  <si>
    <t>Other Equity</t>
  </si>
  <si>
    <t>Goodwill on Consolidation</t>
  </si>
  <si>
    <t xml:space="preserve">Other Intangible assets </t>
  </si>
  <si>
    <t>Other Non-current assets</t>
  </si>
  <si>
    <t>Inventories</t>
  </si>
  <si>
    <t>a) Trade Receivabes</t>
  </si>
  <si>
    <t>b) Cash &amp; Cash Equivalants</t>
  </si>
  <si>
    <t>Current Tax Liabilities</t>
  </si>
  <si>
    <t>NON CURRENT LIABILITIES</t>
  </si>
  <si>
    <t>Other Non-current liabilities</t>
  </si>
  <si>
    <t>Non-Controlling Interest</t>
  </si>
  <si>
    <t>Working Capital Days</t>
  </si>
  <si>
    <t>NET CURRENT ASSETS</t>
  </si>
  <si>
    <t>BigBloc Construction Ltd.</t>
  </si>
  <si>
    <t>FY23</t>
  </si>
  <si>
    <t>NA</t>
  </si>
  <si>
    <t>Provisions</t>
  </si>
  <si>
    <t>FY24</t>
  </si>
  <si>
    <t>FY25</t>
  </si>
  <si>
    <t xml:space="preserve">Deffered Tax Assets (Net) </t>
  </si>
  <si>
    <t>FY26</t>
  </si>
  <si>
    <t>c) Other bank balances</t>
  </si>
  <si>
    <t>d) 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</si>
</sst>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0.0%"/>
    <numFmt numFmtId="166" formatCode="_ * #,##0_ ;_ * \-#,##0_ ;_ * &quot;-&quot;??_ ;_ @_ "/>
    <numFmt numFmtId="167" formatCode="_ * #,##0.000_ ;_ * \-#,##0.0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7">
    <xf numFmtId="0" fontId="0" fillId="0" borderId="0" xfId="0"/>
    <xf numFmtId="10" fontId="0" fillId="0" borderId="0" xfId="2" applyNumberFormat="1" applyFont="1"/>
    <xf numFmtId="0" fontId="4" fillId="4" borderId="0" xfId="0" applyFont="1" applyFill="1"/>
    <xf numFmtId="0" fontId="3" fillId="2" borderId="1" xfId="0" applyFont="1" applyFill="1" applyBorder="1"/>
    <xf numFmtId="0" fontId="5" fillId="2" borderId="4" xfId="0" applyFont="1" applyFill="1" applyBorder="1" applyAlignment="1">
      <alignment horizontal="right"/>
    </xf>
    <xf numFmtId="0" fontId="5" fillId="2" borderId="1" xfId="0" applyFont="1" applyFill="1" applyBorder="1"/>
    <xf numFmtId="0" fontId="3" fillId="0" borderId="8" xfId="0" applyFont="1" applyBorder="1"/>
    <xf numFmtId="2" fontId="3" fillId="0" borderId="8" xfId="0" applyNumberFormat="1" applyFont="1" applyBorder="1"/>
    <xf numFmtId="43" fontId="5" fillId="0" borderId="5" xfId="3" applyFont="1" applyFill="1" applyBorder="1"/>
    <xf numFmtId="0" fontId="6" fillId="0" borderId="8" xfId="0" applyFont="1" applyBorder="1"/>
    <xf numFmtId="43" fontId="6" fillId="0" borderId="5" xfId="3" applyFont="1" applyBorder="1"/>
    <xf numFmtId="0" fontId="7" fillId="2" borderId="9" xfId="0" applyFont="1" applyFill="1" applyBorder="1"/>
    <xf numFmtId="10" fontId="7" fillId="2" borderId="9" xfId="2" applyNumberFormat="1" applyFont="1" applyFill="1" applyBorder="1"/>
    <xf numFmtId="10" fontId="7" fillId="2" borderId="6" xfId="2" applyNumberFormat="1" applyFont="1" applyFill="1" applyBorder="1"/>
    <xf numFmtId="0" fontId="6" fillId="0" borderId="9" xfId="0" applyFont="1" applyBorder="1"/>
    <xf numFmtId="43" fontId="4" fillId="0" borderId="6" xfId="3" applyFont="1" applyBorder="1"/>
    <xf numFmtId="165" fontId="7" fillId="2" borderId="6" xfId="0" applyNumberFormat="1" applyFont="1" applyFill="1" applyBorder="1"/>
    <xf numFmtId="0" fontId="6" fillId="0" borderId="19" xfId="0" applyFont="1" applyBorder="1"/>
    <xf numFmtId="164" fontId="4" fillId="0" borderId="20" xfId="3" applyNumberFormat="1" applyFont="1" applyBorder="1"/>
    <xf numFmtId="0" fontId="3" fillId="2" borderId="9" xfId="0" applyFont="1" applyFill="1" applyBorder="1"/>
    <xf numFmtId="43" fontId="3" fillId="2" borderId="9" xfId="3" applyFont="1" applyFill="1" applyBorder="1"/>
    <xf numFmtId="43" fontId="3" fillId="2" borderId="6" xfId="3" applyFont="1" applyFill="1" applyBorder="1"/>
    <xf numFmtId="43" fontId="5" fillId="2" borderId="4" xfId="1" applyFont="1" applyFill="1" applyBorder="1"/>
    <xf numFmtId="0" fontId="4" fillId="0" borderId="9" xfId="0" applyFont="1" applyBorder="1"/>
    <xf numFmtId="2" fontId="4" fillId="0" borderId="9" xfId="0" applyNumberFormat="1" applyFont="1" applyBorder="1"/>
    <xf numFmtId="2" fontId="6" fillId="0" borderId="6" xfId="0" applyNumberFormat="1" applyFont="1" applyBorder="1"/>
    <xf numFmtId="43" fontId="4" fillId="0" borderId="5" xfId="3" applyFont="1" applyBorder="1"/>
    <xf numFmtId="0" fontId="6" fillId="0" borderId="10" xfId="0" applyFont="1" applyBorder="1"/>
    <xf numFmtId="43" fontId="4" fillId="0" borderId="7" xfId="3" applyFont="1" applyBorder="1"/>
    <xf numFmtId="0" fontId="5" fillId="2" borderId="11" xfId="0" applyFont="1" applyFill="1" applyBorder="1"/>
    <xf numFmtId="43" fontId="5" fillId="2" borderId="14" xfId="1" applyFont="1" applyFill="1" applyBorder="1"/>
    <xf numFmtId="0" fontId="5" fillId="2" borderId="18" xfId="0" applyFont="1" applyFill="1" applyBorder="1"/>
    <xf numFmtId="43" fontId="5" fillId="2" borderId="17" xfId="1" applyFont="1" applyFill="1" applyBorder="1"/>
    <xf numFmtId="43" fontId="5" fillId="2" borderId="1" xfId="1" applyFont="1" applyFill="1" applyBorder="1"/>
    <xf numFmtId="167" fontId="3" fillId="2" borderId="9" xfId="3" applyNumberFormat="1" applyFont="1" applyFill="1" applyBorder="1"/>
    <xf numFmtId="0" fontId="4" fillId="0" borderId="0" xfId="0" applyFont="1"/>
    <xf numFmtId="10" fontId="5" fillId="2" borderId="9" xfId="0" applyNumberFormat="1" applyFont="1" applyFill="1" applyBorder="1"/>
    <xf numFmtId="10" fontId="5" fillId="2" borderId="6" xfId="0" applyNumberFormat="1" applyFont="1" applyFill="1" applyBorder="1"/>
    <xf numFmtId="2" fontId="6" fillId="0" borderId="6" xfId="3" applyNumberFormat="1" applyFont="1" applyFill="1" applyBorder="1"/>
    <xf numFmtId="164" fontId="6" fillId="0" borderId="6" xfId="3" applyNumberFormat="1" applyFont="1" applyFill="1" applyBorder="1"/>
    <xf numFmtId="43" fontId="6" fillId="0" borderId="6" xfId="3" applyFont="1" applyBorder="1"/>
    <xf numFmtId="10" fontId="7" fillId="2" borderId="9" xfId="0" applyNumberFormat="1" applyFont="1" applyFill="1" applyBorder="1"/>
    <xf numFmtId="10" fontId="7" fillId="2" borderId="6" xfId="0" applyNumberFormat="1" applyFont="1" applyFill="1" applyBorder="1"/>
    <xf numFmtId="10" fontId="3" fillId="2" borderId="9" xfId="2" applyNumberFormat="1" applyFont="1" applyFill="1" applyBorder="1"/>
    <xf numFmtId="10" fontId="3" fillId="2" borderId="6" xfId="2" applyNumberFormat="1" applyFont="1" applyFill="1" applyBorder="1"/>
    <xf numFmtId="43" fontId="4" fillId="0" borderId="6" xfId="1" applyFont="1" applyBorder="1"/>
    <xf numFmtId="43" fontId="4" fillId="3" borderId="6" xfId="1" applyFont="1" applyFill="1" applyBorder="1"/>
    <xf numFmtId="0" fontId="3" fillId="0" borderId="9" xfId="0" applyFont="1" applyBorder="1"/>
    <xf numFmtId="43" fontId="5" fillId="0" borderId="9" xfId="3" applyFont="1" applyFill="1" applyBorder="1"/>
    <xf numFmtId="43" fontId="5" fillId="0" borderId="6" xfId="3" applyFont="1" applyFill="1" applyBorder="1"/>
    <xf numFmtId="164" fontId="6" fillId="0" borderId="15" xfId="1" applyNumberFormat="1" applyFont="1" applyBorder="1"/>
    <xf numFmtId="164" fontId="6" fillId="0" borderId="16" xfId="1" applyNumberFormat="1" applyFont="1" applyBorder="1"/>
    <xf numFmtId="43" fontId="4" fillId="0" borderId="9" xfId="3" applyFont="1" applyBorder="1"/>
    <xf numFmtId="0" fontId="7" fillId="2" borderId="10" xfId="0" applyFont="1" applyFill="1" applyBorder="1"/>
    <xf numFmtId="165" fontId="7" fillId="2" borderId="7" xfId="0" applyNumberFormat="1" applyFont="1" applyFill="1" applyBorder="1"/>
    <xf numFmtId="43" fontId="4" fillId="0" borderId="18" xfId="3" applyFont="1" applyFill="1" applyBorder="1"/>
    <xf numFmtId="43" fontId="4" fillId="0" borderId="17" xfId="3" applyFont="1" applyFill="1" applyBorder="1"/>
    <xf numFmtId="0" fontId="3" fillId="2" borderId="4" xfId="0" applyFont="1" applyFill="1" applyBorder="1" applyAlignment="1">
      <alignment horizontal="right"/>
    </xf>
    <xf numFmtId="43" fontId="4" fillId="0" borderId="19" xfId="3" applyFont="1" applyBorder="1"/>
    <xf numFmtId="43" fontId="4" fillId="0" borderId="20" xfId="3" applyFont="1" applyBorder="1"/>
    <xf numFmtId="0" fontId="4" fillId="3" borderId="8" xfId="0" applyFont="1" applyFill="1" applyBorder="1"/>
    <xf numFmtId="2" fontId="4" fillId="3" borderId="5" xfId="0" applyNumberFormat="1" applyFont="1" applyFill="1" applyBorder="1"/>
    <xf numFmtId="0" fontId="4" fillId="3" borderId="9" xfId="0" applyFont="1" applyFill="1" applyBorder="1"/>
    <xf numFmtId="43" fontId="4" fillId="3" borderId="6" xfId="0" applyNumberFormat="1" applyFont="1" applyFill="1" applyBorder="1"/>
    <xf numFmtId="0" fontId="4" fillId="3" borderId="10" xfId="0" applyFont="1" applyFill="1" applyBorder="1"/>
    <xf numFmtId="43" fontId="4" fillId="3" borderId="7" xfId="0" applyNumberFormat="1" applyFont="1" applyFill="1" applyBorder="1"/>
    <xf numFmtId="43" fontId="4" fillId="0" borderId="17" xfId="3" applyFont="1" applyBorder="1"/>
    <xf numFmtId="0" fontId="3" fillId="2" borderId="11" xfId="0" applyFont="1" applyFill="1" applyBorder="1"/>
    <xf numFmtId="43" fontId="3" fillId="2" borderId="12" xfId="0" applyNumberFormat="1" applyFont="1" applyFill="1" applyBorder="1"/>
    <xf numFmtId="43" fontId="3" fillId="2" borderId="13" xfId="0" applyNumberFormat="1" applyFont="1" applyFill="1" applyBorder="1"/>
    <xf numFmtId="43" fontId="3" fillId="2" borderId="14" xfId="0" applyNumberFormat="1" applyFont="1" applyFill="1" applyBorder="1"/>
    <xf numFmtId="0" fontId="6" fillId="0" borderId="11" xfId="0" applyFont="1" applyBorder="1"/>
    <xf numFmtId="0" fontId="5" fillId="3" borderId="8" xfId="0" applyFont="1" applyFill="1" applyBorder="1"/>
    <xf numFmtId="43" fontId="5" fillId="3" borderId="5" xfId="1" applyFont="1" applyFill="1" applyBorder="1"/>
    <xf numFmtId="0" fontId="6" fillId="3" borderId="10" xfId="0" applyFont="1" applyFill="1" applyBorder="1"/>
    <xf numFmtId="43" fontId="6" fillId="3" borderId="7" xfId="1" applyFont="1" applyFill="1" applyBorder="1"/>
    <xf numFmtId="0" fontId="6" fillId="0" borderId="15" xfId="0" applyFont="1" applyBorder="1"/>
    <xf numFmtId="2" fontId="6" fillId="0" borderId="16" xfId="0" applyNumberFormat="1" applyFont="1" applyBorder="1"/>
    <xf numFmtId="2" fontId="6" fillId="3" borderId="16" xfId="0" applyNumberFormat="1" applyFont="1" applyFill="1" applyBorder="1"/>
    <xf numFmtId="0" fontId="4" fillId="0" borderId="8" xfId="0" applyFont="1" applyBorder="1"/>
    <xf numFmtId="166" fontId="4" fillId="0" borderId="5" xfId="1" applyNumberFormat="1" applyFont="1" applyBorder="1"/>
    <xf numFmtId="0" fontId="6" fillId="2" borderId="9" xfId="0" applyFont="1" applyFill="1" applyBorder="1"/>
    <xf numFmtId="43" fontId="6" fillId="2" borderId="6" xfId="0" applyNumberFormat="1" applyFont="1" applyFill="1" applyBorder="1"/>
    <xf numFmtId="0" fontId="6" fillId="2" borderId="18" xfId="0" applyFont="1" applyFill="1" applyBorder="1"/>
    <xf numFmtId="2" fontId="4" fillId="2" borderId="6" xfId="0" applyNumberFormat="1" applyFont="1" applyFill="1" applyBorder="1"/>
    <xf numFmtId="164" fontId="4" fillId="0" borderId="6" xfId="1" applyNumberFormat="1" applyFont="1" applyBorder="1"/>
    <xf numFmtId="0" fontId="4" fillId="0" borderId="10" xfId="0" applyFont="1" applyBorder="1"/>
    <xf numFmtId="2" fontId="4" fillId="0" borderId="7" xfId="0" applyNumberFormat="1" applyFont="1" applyBorder="1"/>
    <xf numFmtId="43" fontId="4" fillId="2" borderId="6" xfId="0" applyNumberFormat="1" applyFont="1" applyFill="1" applyBorder="1"/>
    <xf numFmtId="164" fontId="3" fillId="2" borderId="14" xfId="1" applyNumberFormat="1" applyFont="1" applyFill="1" applyBorder="1"/>
    <xf numFmtId="10" fontId="6" fillId="2" borderId="6" xfId="2" applyNumberFormat="1" applyFont="1" applyFill="1" applyBorder="1"/>
    <xf numFmtId="43" fontId="4" fillId="0" borderId="0" xfId="0" applyNumberFormat="1" applyFont="1"/>
    <xf numFmtId="2" fontId="6" fillId="2" borderId="6" xfId="0" applyNumberFormat="1" applyFont="1" applyFill="1" applyBorder="1"/>
    <xf numFmtId="10" fontId="4" fillId="2" borderId="6" xfId="2" applyNumberFormat="1" applyFont="1" applyFill="1" applyBorder="1"/>
    <xf numFmtId="1" fontId="7" fillId="2" borderId="6" xfId="0" applyNumberFormat="1" applyFont="1" applyFill="1" applyBorder="1" applyAlignment="1">
      <alignment horizontal="right"/>
    </xf>
    <xf numFmtId="1" fontId="4" fillId="2" borderId="6" xfId="0" applyNumberFormat="1" applyFont="1" applyFill="1" applyBorder="1"/>
    <xf numFmtId="0" fontId="4" fillId="2" borderId="9" xfId="0" applyFont="1" applyFill="1" applyBorder="1"/>
    <xf numFmtId="0" fontId="4" fillId="2" borderId="18" xfId="0" applyFont="1" applyFill="1" applyBorder="1"/>
    <xf numFmtId="2" fontId="6" fillId="2" borderId="6" xfId="2" applyNumberFormat="1" applyFont="1" applyFill="1" applyBorder="1"/>
    <xf numFmtId="10" fontId="6" fillId="2" borderId="6" xfId="2" applyNumberFormat="1" applyFont="1" applyFill="1" applyBorder="1" applyAlignment="1">
      <alignment horizontal="right"/>
    </xf>
    <xf numFmtId="0" fontId="4" fillId="2" borderId="10" xfId="0" applyFont="1" applyFill="1" applyBorder="1"/>
    <xf numFmtId="10" fontId="4" fillId="2" borderId="7" xfId="2" applyNumberFormat="1" applyFont="1" applyFill="1" applyBorder="1"/>
    <xf numFmtId="43" fontId="4" fillId="3" borderId="0" xfId="0" applyNumberFormat="1" applyFont="1" applyFill="1"/>
    <xf numFmtId="0" fontId="3" fillId="2" borderId="11" xfId="0" applyFont="1" applyFill="1" applyBorder="1" applyAlignment="1">
      <alignment horizontal="right"/>
    </xf>
    <xf numFmtId="0" fontId="5" fillId="2" borderId="14" xfId="0" applyFont="1" applyFill="1" applyBorder="1" applyAlignment="1">
      <alignment horizontal="right"/>
    </xf>
    <xf numFmtId="43" fontId="4" fillId="0" borderId="0" xfId="3" applyFont="1" applyFill="1" applyBorder="1"/>
    <xf numFmtId="0" fontId="5" fillId="2" borderId="21" xfId="0" applyFont="1" applyFill="1" applyBorder="1" applyAlignment="1">
      <alignment horizontal="right"/>
    </xf>
    <xf numFmtId="43" fontId="6" fillId="0" borderId="22" xfId="3" applyFont="1" applyBorder="1"/>
    <xf numFmtId="43" fontId="4" fillId="0" borderId="23" xfId="3" applyFont="1" applyBorder="1"/>
    <xf numFmtId="164" fontId="4" fillId="0" borderId="24" xfId="3" applyNumberFormat="1" applyFont="1" applyBorder="1"/>
    <xf numFmtId="43" fontId="5" fillId="2" borderId="3" xfId="1" applyFont="1" applyFill="1" applyBorder="1"/>
    <xf numFmtId="43" fontId="4" fillId="0" borderId="22" xfId="3" applyFont="1" applyBorder="1"/>
    <xf numFmtId="43" fontId="4" fillId="0" borderId="25" xfId="3" applyFont="1" applyBorder="1"/>
    <xf numFmtId="43" fontId="5" fillId="2" borderId="21" xfId="1" applyFont="1" applyFill="1" applyBorder="1"/>
    <xf numFmtId="43" fontId="5" fillId="2" borderId="2" xfId="1" applyFont="1" applyFill="1" applyBorder="1"/>
    <xf numFmtId="43" fontId="6" fillId="0" borderId="23" xfId="3" applyFont="1" applyBorder="1"/>
    <xf numFmtId="164" fontId="6" fillId="0" borderId="26" xfId="1" applyNumberFormat="1" applyFont="1" applyBorder="1"/>
    <xf numFmtId="43" fontId="4" fillId="0" borderId="24" xfId="3" applyFont="1" applyBorder="1"/>
    <xf numFmtId="43" fontId="4" fillId="0" borderId="0" xfId="3" applyFont="1" applyBorder="1"/>
    <xf numFmtId="43" fontId="5" fillId="2" borderId="11" xfId="1" applyFont="1" applyFill="1" applyBorder="1"/>
    <xf numFmtId="0" fontId="5" fillId="2" borderId="1" xfId="0" applyFont="1" applyFill="1" applyBorder="1" applyAlignment="1">
      <alignment horizontal="right"/>
    </xf>
    <xf numFmtId="43" fontId="6" fillId="0" borderId="8" xfId="3" applyFont="1" applyBorder="1"/>
    <xf numFmtId="164" fontId="4" fillId="0" borderId="19" xfId="3" applyNumberFormat="1" applyFont="1" applyBorder="1"/>
    <xf numFmtId="43" fontId="4" fillId="0" borderId="8" xfId="3" applyFont="1" applyBorder="1"/>
    <xf numFmtId="43" fontId="4" fillId="0" borderId="10" xfId="3" applyFont="1" applyBorder="1"/>
    <xf numFmtId="43" fontId="6" fillId="0" borderId="9" xfId="3" applyFont="1" applyBorder="1"/>
    <xf numFmtId="43" fontId="4" fillId="0" borderId="18" xfId="3" applyFont="1" applyBorder="1"/>
    <xf numFmtId="0" fontId="0" fillId="3" borderId="0" xfId="0" applyFill="1"/>
    <xf numFmtId="43" fontId="5" fillId="2" borderId="6" xfId="3" applyFont="1" applyFill="1" applyBorder="1"/>
    <xf numFmtId="2" fontId="5" fillId="0" borderId="6" xfId="0" applyNumberFormat="1" applyFont="1" applyBorder="1"/>
    <xf numFmtId="0" fontId="8" fillId="2" borderId="0" xfId="0" applyFont="1" applyFill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43" fontId="6" fillId="0" borderId="0" xfId="3" applyFont="1" applyFill="1" applyBorder="1"/>
    <xf numFmtId="2" fontId="5" fillId="0" borderId="5" xfId="0" applyNumberFormat="1" applyFont="1" applyBorder="1"/>
    <xf numFmtId="0" fontId="0" fillId="0" borderId="17" xfId="0" applyBorder="1"/>
    <xf numFmtId="0" fontId="8" fillId="2" borderId="2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2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6" fillId="2" borderId="1" xfId="0" applyFont="1" applyFill="1" applyBorder="1"/>
    <xf numFmtId="0" fontId="4" fillId="2" borderId="0" xfId="0" applyFont="1" applyFill="1"/>
  </cellXfs>
  <cellStyles count="4">
    <cellStyle name="Comma" xfId="1" builtinId="3"/>
    <cellStyle name="Comma 3" xfId="3" xr:uid="{00000000-0005-0000-0000-000001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Lenovo/Desktop/BigBloc/BigBloc%20PeerSheet.xlsx" TargetMode="External"/><Relationship Id="rId1" Type="http://schemas.openxmlformats.org/officeDocument/2006/relationships/externalLinkPath" Target="/Users/Lenovo/Desktop/BigBloc/BigBloc%20Peer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eer Sheet"/>
    </sheetNames>
    <sheetDataSet>
      <sheetData sheetId="0">
        <row r="28">
          <cell r="B28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W70"/>
  <sheetViews>
    <sheetView showGridLines="0" tabSelected="1" topLeftCell="B1" zoomScale="70" zoomScaleNormal="70" workbookViewId="0">
      <selection activeCell="P75" sqref="P75"/>
    </sheetView>
  </sheetViews>
  <sheetFormatPr defaultRowHeight="14.4" x14ac:dyDescent="0.3"/>
  <cols>
    <col min="2" max="2" width="50" bestFit="1" customWidth="1"/>
    <col min="3" max="3" width="13.6640625" customWidth="1"/>
    <col min="4" max="5" width="13.88671875" bestFit="1" customWidth="1"/>
    <col min="6" max="6" width="13.5546875" customWidth="1"/>
    <col min="7" max="8" width="13.88671875" bestFit="1" customWidth="1"/>
    <col min="9" max="9" width="15.6640625" bestFit="1" customWidth="1"/>
    <col min="10" max="10" width="15" bestFit="1" customWidth="1"/>
    <col min="11" max="11" width="3.109375" customWidth="1"/>
    <col min="12" max="12" width="43.6640625" customWidth="1"/>
    <col min="13" max="18" width="10.6640625" bestFit="1" customWidth="1"/>
    <col min="19" max="19" width="11.33203125" bestFit="1" customWidth="1"/>
    <col min="20" max="20" width="10.5546875" bestFit="1" customWidth="1"/>
  </cols>
  <sheetData>
    <row r="2" spans="2:21" ht="17.25" customHeight="1" x14ac:dyDescent="0.3">
      <c r="B2" s="142" t="s">
        <v>104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4"/>
    </row>
    <row r="3" spans="2:21" ht="18.600000000000001" thickBot="1" x14ac:dyDescent="0.4">
      <c r="B3" s="137" t="s">
        <v>0</v>
      </c>
      <c r="C3" s="138"/>
      <c r="D3" s="138"/>
      <c r="E3" s="138"/>
      <c r="F3" s="138"/>
      <c r="G3" s="138"/>
      <c r="H3" s="139"/>
      <c r="I3" s="130"/>
      <c r="J3" s="130"/>
      <c r="K3" s="146"/>
      <c r="L3" s="137" t="s">
        <v>1</v>
      </c>
      <c r="M3" s="138"/>
      <c r="N3" s="138"/>
      <c r="O3" s="138"/>
      <c r="P3" s="138"/>
      <c r="Q3" s="138"/>
      <c r="R3" s="138"/>
      <c r="S3" s="138"/>
      <c r="T3" s="144"/>
    </row>
    <row r="4" spans="2:21" ht="16.2" thickBot="1" x14ac:dyDescent="0.35">
      <c r="B4" s="67" t="s">
        <v>2</v>
      </c>
      <c r="C4" s="103" t="s">
        <v>3</v>
      </c>
      <c r="D4" s="104" t="s">
        <v>4</v>
      </c>
      <c r="E4" s="104" t="s">
        <v>5</v>
      </c>
      <c r="F4" s="104" t="s">
        <v>6</v>
      </c>
      <c r="G4" s="104" t="s">
        <v>105</v>
      </c>
      <c r="H4" s="104" t="s">
        <v>108</v>
      </c>
      <c r="I4" s="120" t="s">
        <v>109</v>
      </c>
      <c r="J4" s="120" t="s">
        <v>111</v>
      </c>
      <c r="K4" s="2"/>
      <c r="L4" s="29" t="s">
        <v>2</v>
      </c>
      <c r="M4" s="104" t="s">
        <v>3</v>
      </c>
      <c r="N4" s="104" t="s">
        <v>4</v>
      </c>
      <c r="O4" s="104" t="s">
        <v>5</v>
      </c>
      <c r="P4" s="104" t="s">
        <v>6</v>
      </c>
      <c r="Q4" s="106" t="s">
        <v>105</v>
      </c>
      <c r="R4" s="120" t="s">
        <v>108</v>
      </c>
      <c r="S4" s="120" t="s">
        <v>109</v>
      </c>
      <c r="T4" s="120" t="s">
        <v>111</v>
      </c>
    </row>
    <row r="5" spans="2:21" ht="15.6" x14ac:dyDescent="0.3">
      <c r="B5" s="6" t="s">
        <v>7</v>
      </c>
      <c r="C5" s="7">
        <v>1000.7910000000001</v>
      </c>
      <c r="D5" s="8">
        <v>1187.922</v>
      </c>
      <c r="E5" s="8">
        <v>1029.636</v>
      </c>
      <c r="F5" s="8">
        <v>1752.2339999999999</v>
      </c>
      <c r="G5" s="8">
        <v>2001.0609999999999</v>
      </c>
      <c r="H5" s="129">
        <v>2432.2130000000002</v>
      </c>
      <c r="I5" s="135">
        <v>2246.3959999999997</v>
      </c>
      <c r="J5" s="135">
        <v>2834.163</v>
      </c>
      <c r="K5" s="2"/>
      <c r="L5" s="9" t="s">
        <v>90</v>
      </c>
      <c r="M5" s="10">
        <v>141.57575</v>
      </c>
      <c r="N5" s="10">
        <v>141.57599999999999</v>
      </c>
      <c r="O5" s="10">
        <v>141.57599999999999</v>
      </c>
      <c r="P5" s="10">
        <v>141.57599999999999</v>
      </c>
      <c r="Q5" s="107">
        <v>141.57599999999999</v>
      </c>
      <c r="R5" s="121">
        <v>141.57599999999999</v>
      </c>
      <c r="S5" s="121">
        <v>283.15199999999999</v>
      </c>
      <c r="T5" s="121">
        <v>283.15199999999999</v>
      </c>
      <c r="U5" s="134"/>
    </row>
    <row r="6" spans="2:21" ht="15.6" x14ac:dyDescent="0.3">
      <c r="B6" s="11" t="s">
        <v>8</v>
      </c>
      <c r="C6" s="12"/>
      <c r="D6" s="13">
        <f>D5/C5-1</f>
        <v>0.1869830963707706</v>
      </c>
      <c r="E6" s="13">
        <f t="shared" ref="E6:F6" si="0">E5/D5-1</f>
        <v>-0.13324612222014587</v>
      </c>
      <c r="F6" s="13">
        <f t="shared" si="0"/>
        <v>0.70179947088097161</v>
      </c>
      <c r="G6" s="13">
        <f>G5/F5-1</f>
        <v>0.14200557688071336</v>
      </c>
      <c r="H6" s="13">
        <f>H5/G5-1</f>
        <v>0.21546169756943945</v>
      </c>
      <c r="I6" s="13">
        <f>I5/H5-1</f>
        <v>-7.6398325311146875E-2</v>
      </c>
      <c r="J6" s="13">
        <f>J5/I5-1</f>
        <v>0.26164888114117035</v>
      </c>
      <c r="K6" s="2"/>
      <c r="L6" s="14" t="s">
        <v>91</v>
      </c>
      <c r="M6" s="15">
        <v>132.44701000000001</v>
      </c>
      <c r="N6" s="15">
        <v>157.03700000000001</v>
      </c>
      <c r="O6" s="15">
        <v>178.19</v>
      </c>
      <c r="P6" s="15">
        <v>328.67599999999999</v>
      </c>
      <c r="Q6" s="108">
        <v>611.60299999999995</v>
      </c>
      <c r="R6" s="52">
        <v>898.70399999999995</v>
      </c>
      <c r="S6" s="52">
        <v>1107.694</v>
      </c>
      <c r="T6" s="52">
        <v>1092.2049999999999</v>
      </c>
    </row>
    <row r="7" spans="2:21" ht="16.2" thickBot="1" x14ac:dyDescent="0.35">
      <c r="B7" s="11" t="s">
        <v>9</v>
      </c>
      <c r="C7" s="11"/>
      <c r="D7" s="16"/>
      <c r="E7" s="16"/>
      <c r="F7" s="13">
        <f>(F5/C5)^(1/3)-1</f>
        <v>0.20526599578412896</v>
      </c>
      <c r="G7" s="13">
        <f>(G5/D5)^(1/3)-1</f>
        <v>0.18984612561694103</v>
      </c>
      <c r="H7" s="13">
        <f>(H5/E5)^(1/3)-1</f>
        <v>0.33180087397140734</v>
      </c>
      <c r="I7" s="13">
        <f>(I5/F5)^(1/3)-1</f>
        <v>8.6337416295715341E-2</v>
      </c>
      <c r="J7" s="13">
        <f>(J5/G5)^(1/3)-1</f>
        <v>0.12302174460858128</v>
      </c>
      <c r="K7" s="2"/>
      <c r="L7" s="17" t="s">
        <v>101</v>
      </c>
      <c r="M7" s="18">
        <v>0</v>
      </c>
      <c r="N7" s="18">
        <v>0</v>
      </c>
      <c r="O7" s="18">
        <v>0</v>
      </c>
      <c r="P7" s="18">
        <v>0</v>
      </c>
      <c r="Q7" s="109">
        <v>17.834</v>
      </c>
      <c r="R7" s="122">
        <v>45.997</v>
      </c>
      <c r="S7" s="122">
        <v>101.21599999999999</v>
      </c>
      <c r="T7" s="122">
        <v>88.158000000000001</v>
      </c>
    </row>
    <row r="8" spans="2:21" ht="16.2" thickBot="1" x14ac:dyDescent="0.35">
      <c r="B8" s="19" t="s">
        <v>11</v>
      </c>
      <c r="C8" s="20">
        <f t="shared" ref="C8:G8" si="1">SUM(C9:C13)</f>
        <v>931.827</v>
      </c>
      <c r="D8" s="21">
        <f t="shared" si="1"/>
        <v>1084.5700000000002</v>
      </c>
      <c r="E8" s="21">
        <f t="shared" si="1"/>
        <v>908.49700000000007</v>
      </c>
      <c r="F8" s="21">
        <f t="shared" si="1"/>
        <v>1480.8400000000001</v>
      </c>
      <c r="G8" s="21">
        <f t="shared" si="1"/>
        <v>1501.009</v>
      </c>
      <c r="H8" s="128">
        <f>SUM(H9:H13)</f>
        <v>1870.69</v>
      </c>
      <c r="I8" s="128">
        <f>(SUM(I9:I13))</f>
        <v>1954.6419999999998</v>
      </c>
      <c r="J8" s="128">
        <f>(SUM(J9:J13))</f>
        <v>2658.1150000000002</v>
      </c>
      <c r="K8" s="2"/>
      <c r="L8" s="5" t="s">
        <v>10</v>
      </c>
      <c r="M8" s="22">
        <f>M5+M6+M7</f>
        <v>274.02276000000001</v>
      </c>
      <c r="N8" s="22">
        <f>N5+N6+N7</f>
        <v>298.613</v>
      </c>
      <c r="O8" s="22">
        <f>O5+O6+O7</f>
        <v>319.76599999999996</v>
      </c>
      <c r="P8" s="22">
        <f t="shared" ref="P8" si="2">P5+P6+P7</f>
        <v>470.25199999999995</v>
      </c>
      <c r="Q8" s="110">
        <f t="shared" ref="Q8:T8" si="3">Q5+Q6+Q7</f>
        <v>771.01299999999992</v>
      </c>
      <c r="R8" s="33">
        <f t="shared" si="3"/>
        <v>1086.277</v>
      </c>
      <c r="S8" s="33">
        <f t="shared" si="3"/>
        <v>1492.0619999999999</v>
      </c>
      <c r="T8" s="33">
        <f t="shared" si="3"/>
        <v>1463.5149999999999</v>
      </c>
    </row>
    <row r="9" spans="2:21" ht="15.6" x14ac:dyDescent="0.3">
      <c r="B9" s="23" t="s">
        <v>84</v>
      </c>
      <c r="C9" s="24">
        <v>274.61500000000001</v>
      </c>
      <c r="D9" s="25">
        <v>473.017</v>
      </c>
      <c r="E9" s="25">
        <v>414.13299999999998</v>
      </c>
      <c r="F9" s="25">
        <v>674.72</v>
      </c>
      <c r="G9" s="25">
        <v>689.87199999999996</v>
      </c>
      <c r="H9" s="25">
        <v>860.65599999999995</v>
      </c>
      <c r="I9" s="25">
        <v>855.63099999999997</v>
      </c>
      <c r="J9" s="25">
        <v>1211.3520000000001</v>
      </c>
      <c r="K9" s="2"/>
      <c r="L9" s="9" t="s">
        <v>12</v>
      </c>
      <c r="M9" s="26">
        <v>174.935723</v>
      </c>
      <c r="N9" s="26">
        <v>278.67700000000002</v>
      </c>
      <c r="O9" s="26">
        <v>367.77199999999999</v>
      </c>
      <c r="P9" s="26">
        <v>301.33300000000003</v>
      </c>
      <c r="Q9" s="111">
        <v>645.30999999999995</v>
      </c>
      <c r="R9" s="123">
        <v>1007.279</v>
      </c>
      <c r="S9" s="123">
        <v>1246.6190000000001</v>
      </c>
      <c r="T9" s="123">
        <v>1143.8019999999999</v>
      </c>
    </row>
    <row r="10" spans="2:21" ht="16.2" thickBot="1" x14ac:dyDescent="0.35">
      <c r="B10" s="23" t="s">
        <v>85</v>
      </c>
      <c r="C10" s="24">
        <v>136.91300000000001</v>
      </c>
      <c r="D10" s="25">
        <v>27.887</v>
      </c>
      <c r="E10" s="25">
        <v>26.076000000000001</v>
      </c>
      <c r="F10" s="25">
        <v>41.292000000000002</v>
      </c>
      <c r="G10" s="25">
        <v>38.74</v>
      </c>
      <c r="H10" s="25">
        <v>59.424999999999997</v>
      </c>
      <c r="I10" s="25">
        <v>62.054999999999993</v>
      </c>
      <c r="J10" s="25">
        <v>80.838999999999999</v>
      </c>
      <c r="K10" s="2"/>
      <c r="L10" s="27" t="s">
        <v>13</v>
      </c>
      <c r="M10" s="28">
        <v>271.15491600000001</v>
      </c>
      <c r="N10" s="28">
        <v>239.99</v>
      </c>
      <c r="O10" s="28">
        <v>241.66200000000001</v>
      </c>
      <c r="P10" s="28">
        <v>124.89100000000001</v>
      </c>
      <c r="Q10" s="112">
        <v>227.56200000000001</v>
      </c>
      <c r="R10" s="124">
        <v>417.82100000000003</v>
      </c>
      <c r="S10" s="124">
        <v>634.16399999999999</v>
      </c>
      <c r="T10" s="124">
        <v>871.88199999999995</v>
      </c>
    </row>
    <row r="11" spans="2:21" ht="16.2" thickBot="1" x14ac:dyDescent="0.35">
      <c r="B11" s="23" t="s">
        <v>86</v>
      </c>
      <c r="C11" s="24">
        <v>1.919</v>
      </c>
      <c r="D11" s="25">
        <v>-6.3929999999999998</v>
      </c>
      <c r="E11" s="25">
        <v>-15.568</v>
      </c>
      <c r="F11" s="25">
        <v>20.652000000000001</v>
      </c>
      <c r="G11" s="25">
        <v>-20.841999999999999</v>
      </c>
      <c r="H11" s="25">
        <v>-31.68</v>
      </c>
      <c r="I11" s="25">
        <v>-11.731</v>
      </c>
      <c r="J11" s="25">
        <v>-26.359000000000002</v>
      </c>
      <c r="K11" s="2"/>
      <c r="L11" s="29" t="s">
        <v>15</v>
      </c>
      <c r="M11" s="30">
        <f t="shared" ref="M11:N11" si="4">(M9+M10)</f>
        <v>446.09063900000001</v>
      </c>
      <c r="N11" s="30">
        <f t="shared" si="4"/>
        <v>518.66700000000003</v>
      </c>
      <c r="O11" s="30">
        <f>(O9+O10)</f>
        <v>609.43399999999997</v>
      </c>
      <c r="P11" s="30">
        <f t="shared" ref="P11" si="5">(P9+P10)</f>
        <v>426.22400000000005</v>
      </c>
      <c r="Q11" s="113">
        <f t="shared" ref="Q11:S11" si="6">(Q9+Q10)</f>
        <v>872.87199999999996</v>
      </c>
      <c r="R11" s="119">
        <f t="shared" si="6"/>
        <v>1425.1</v>
      </c>
      <c r="S11" s="119">
        <f t="shared" si="6"/>
        <v>1880.7830000000001</v>
      </c>
      <c r="T11" s="119">
        <f t="shared" ref="T11" si="7">(T9+T10)</f>
        <v>2015.6839999999997</v>
      </c>
    </row>
    <row r="12" spans="2:21" ht="16.2" thickBot="1" x14ac:dyDescent="0.35">
      <c r="B12" s="23" t="s">
        <v>87</v>
      </c>
      <c r="C12" s="24">
        <v>105.833</v>
      </c>
      <c r="D12" s="25">
        <v>127.468</v>
      </c>
      <c r="E12" s="25">
        <v>102.443</v>
      </c>
      <c r="F12" s="25">
        <v>137.03700000000001</v>
      </c>
      <c r="G12" s="25">
        <v>145.57499999999999</v>
      </c>
      <c r="H12" s="25">
        <v>207.80500000000001</v>
      </c>
      <c r="I12" s="25">
        <v>237.59299999999999</v>
      </c>
      <c r="J12" s="25">
        <v>279.88299999999998</v>
      </c>
      <c r="K12" s="2"/>
      <c r="L12" s="29" t="s">
        <v>17</v>
      </c>
      <c r="M12" s="30">
        <f t="shared" ref="M12:T12" si="8">M8+M41</f>
        <v>492.72794599999997</v>
      </c>
      <c r="N12" s="30">
        <f t="shared" si="8"/>
        <v>606.88699999999994</v>
      </c>
      <c r="O12" s="30">
        <f t="shared" si="8"/>
        <v>716.62199999999996</v>
      </c>
      <c r="P12" s="30">
        <f t="shared" si="8"/>
        <v>798.99099999999999</v>
      </c>
      <c r="Q12" s="113">
        <f t="shared" si="8"/>
        <v>1453.8879999999999</v>
      </c>
      <c r="R12" s="119">
        <f t="shared" si="8"/>
        <v>2141.4170000000004</v>
      </c>
      <c r="S12" s="119">
        <f t="shared" si="8"/>
        <v>2749.7640000000001</v>
      </c>
      <c r="T12" s="119">
        <f t="shared" si="8"/>
        <v>2621.0889999999999</v>
      </c>
    </row>
    <row r="13" spans="2:21" ht="16.2" thickBot="1" x14ac:dyDescent="0.35">
      <c r="B13" s="23" t="s">
        <v>14</v>
      </c>
      <c r="C13" s="24">
        <v>412.54700000000003</v>
      </c>
      <c r="D13" s="25">
        <v>462.59100000000001</v>
      </c>
      <c r="E13" s="25">
        <v>381.41300000000001</v>
      </c>
      <c r="F13" s="25">
        <v>607.13900000000001</v>
      </c>
      <c r="G13" s="25">
        <v>647.66399999999999</v>
      </c>
      <c r="H13" s="25">
        <v>774.48400000000004</v>
      </c>
      <c r="I13" s="25">
        <v>811.09399999999994</v>
      </c>
      <c r="J13" s="25">
        <v>1112.4000000000001</v>
      </c>
      <c r="K13" s="2"/>
      <c r="L13" s="31" t="s">
        <v>17</v>
      </c>
      <c r="M13" s="32">
        <f t="shared" ref="M13:S13" si="9">M45-M33</f>
        <v>492.72741900000005</v>
      </c>
      <c r="N13" s="32">
        <f t="shared" si="9"/>
        <v>606.88799999999992</v>
      </c>
      <c r="O13" s="32">
        <f t="shared" si="9"/>
        <v>716.62100000000009</v>
      </c>
      <c r="P13" s="32">
        <f t="shared" si="9"/>
        <v>798.98800000000006</v>
      </c>
      <c r="Q13" s="114">
        <f t="shared" si="9"/>
        <v>1453.886</v>
      </c>
      <c r="R13" s="114">
        <f t="shared" si="9"/>
        <v>2141.4160000000002</v>
      </c>
      <c r="S13" s="114">
        <f t="shared" si="9"/>
        <v>2749.7440000000001</v>
      </c>
      <c r="T13" s="114">
        <f t="shared" ref="T13" si="10">T45-T33</f>
        <v>2621.0889999999999</v>
      </c>
    </row>
    <row r="14" spans="2:21" ht="16.2" thickBot="1" x14ac:dyDescent="0.35">
      <c r="B14" s="19" t="s">
        <v>16</v>
      </c>
      <c r="C14" s="34">
        <f t="shared" ref="C14:G14" si="11">(C5-C8)</f>
        <v>68.964000000000055</v>
      </c>
      <c r="D14" s="21">
        <f t="shared" si="11"/>
        <v>103.35199999999986</v>
      </c>
      <c r="E14" s="21">
        <f t="shared" si="11"/>
        <v>121.1389999999999</v>
      </c>
      <c r="F14" s="21">
        <f t="shared" si="11"/>
        <v>271.39399999999978</v>
      </c>
      <c r="G14" s="21">
        <f t="shared" si="11"/>
        <v>500.05199999999991</v>
      </c>
      <c r="H14" s="21">
        <f>(H5-H8)</f>
        <v>561.52300000000014</v>
      </c>
      <c r="I14" s="21">
        <f>((I5-I8))</f>
        <v>291.75399999999991</v>
      </c>
      <c r="J14" s="21">
        <f>((J5-J8))</f>
        <v>176.04799999999977</v>
      </c>
      <c r="K14" s="2"/>
      <c r="L14" s="131"/>
      <c r="M14" s="132"/>
      <c r="N14" s="132"/>
      <c r="O14" s="132"/>
      <c r="P14" s="132"/>
      <c r="Q14" s="132"/>
      <c r="R14" s="133"/>
      <c r="S14" s="133"/>
      <c r="T14" s="136"/>
    </row>
    <row r="15" spans="2:21" ht="16.2" thickBot="1" x14ac:dyDescent="0.35">
      <c r="B15" s="11" t="s">
        <v>8</v>
      </c>
      <c r="C15" s="12"/>
      <c r="D15" s="13">
        <f>D14/C14-1</f>
        <v>0.49863697001333707</v>
      </c>
      <c r="E15" s="13">
        <f t="shared" ref="E15:G15" si="12">E14/D14-1</f>
        <v>0.1721011688211167</v>
      </c>
      <c r="F15" s="13">
        <f t="shared" si="12"/>
        <v>1.2403519923393787</v>
      </c>
      <c r="G15" s="13">
        <f t="shared" si="12"/>
        <v>0.84253152243601659</v>
      </c>
      <c r="H15" s="13">
        <f>H14/G14-1</f>
        <v>0.12292921536160284</v>
      </c>
      <c r="I15" s="13">
        <f>I14/H14-1</f>
        <v>-0.48042377605191622</v>
      </c>
      <c r="J15" s="13">
        <f>J14/I14-1</f>
        <v>-0.39658753607491304</v>
      </c>
      <c r="K15" s="2"/>
      <c r="L15" s="29" t="s">
        <v>19</v>
      </c>
      <c r="M15" s="30">
        <f t="shared" ref="M15:T15" si="13">SUM(M16:M24)</f>
        <v>652.70600000000002</v>
      </c>
      <c r="N15" s="30">
        <f t="shared" si="13"/>
        <v>687.01600000000008</v>
      </c>
      <c r="O15" s="30">
        <f t="shared" si="13"/>
        <v>716.11</v>
      </c>
      <c r="P15" s="30">
        <f t="shared" si="13"/>
        <v>711.37199999999996</v>
      </c>
      <c r="Q15" s="114">
        <f t="shared" si="13"/>
        <v>1306.3050000000001</v>
      </c>
      <c r="R15" s="33">
        <f t="shared" si="13"/>
        <v>1959.0809999999999</v>
      </c>
      <c r="S15" s="33">
        <f t="shared" si="13"/>
        <v>2539.886</v>
      </c>
      <c r="T15" s="33">
        <f t="shared" si="13"/>
        <v>2582.7829999999999</v>
      </c>
    </row>
    <row r="16" spans="2:21" ht="15.6" x14ac:dyDescent="0.3">
      <c r="B16" s="11" t="s">
        <v>9</v>
      </c>
      <c r="C16" s="11"/>
      <c r="D16" s="16"/>
      <c r="E16" s="16"/>
      <c r="F16" s="16">
        <f>(F14/C14)^(1/3)-1</f>
        <v>0.57879569295150857</v>
      </c>
      <c r="G16" s="16">
        <f>(G14/D14)^(1/3)-1</f>
        <v>0.69134457387596582</v>
      </c>
      <c r="H16" s="16">
        <f>(H14/E14)^(1/3)-1</f>
        <v>0.66735415127614051</v>
      </c>
      <c r="I16" s="16">
        <f>(I14/F14)^(1/3)-1</f>
        <v>2.4406185975994976E-2</v>
      </c>
      <c r="J16" s="16">
        <f>(J14/G14)^(1/3)-1</f>
        <v>-0.2938906282273227</v>
      </c>
      <c r="K16" s="2"/>
      <c r="L16" s="9" t="s">
        <v>21</v>
      </c>
      <c r="M16" s="26">
        <v>589.25400000000002</v>
      </c>
      <c r="N16" s="26">
        <v>623.72199999999998</v>
      </c>
      <c r="O16" s="26">
        <v>653.60599999999999</v>
      </c>
      <c r="P16" s="26">
        <v>646.76199999999994</v>
      </c>
      <c r="Q16" s="111">
        <v>805.98599999999999</v>
      </c>
      <c r="R16" s="123">
        <v>1664.98</v>
      </c>
      <c r="S16" s="123">
        <v>2270.6289999999999</v>
      </c>
      <c r="T16" s="123">
        <v>2349.2379999999998</v>
      </c>
    </row>
    <row r="17" spans="2:23" ht="15.6" x14ac:dyDescent="0.3">
      <c r="B17" s="19" t="s">
        <v>18</v>
      </c>
      <c r="C17" s="36">
        <f t="shared" ref="C17:J17" si="14">(C14/C5)</f>
        <v>6.8909492591360283E-2</v>
      </c>
      <c r="D17" s="37">
        <f t="shared" si="14"/>
        <v>8.70023452718275E-2</v>
      </c>
      <c r="E17" s="37">
        <f t="shared" si="14"/>
        <v>0.11765225769106742</v>
      </c>
      <c r="F17" s="37">
        <f t="shared" si="14"/>
        <v>0.15488456450451241</v>
      </c>
      <c r="G17" s="37">
        <f t="shared" si="14"/>
        <v>0.24989343153457089</v>
      </c>
      <c r="H17" s="37">
        <f t="shared" si="14"/>
        <v>0.23086917140891858</v>
      </c>
      <c r="I17" s="37">
        <f t="shared" si="14"/>
        <v>0.12987647770028077</v>
      </c>
      <c r="J17" s="37">
        <f t="shared" si="14"/>
        <v>6.2116399092077543E-2</v>
      </c>
      <c r="K17" s="2"/>
      <c r="L17" s="14" t="s">
        <v>22</v>
      </c>
      <c r="M17" s="15">
        <v>0</v>
      </c>
      <c r="N17" s="15">
        <v>0</v>
      </c>
      <c r="O17" s="15">
        <v>0</v>
      </c>
      <c r="P17" s="15">
        <v>0</v>
      </c>
      <c r="Q17" s="108">
        <v>409.69</v>
      </c>
      <c r="R17" s="52">
        <v>183.94900000000001</v>
      </c>
      <c r="S17" s="52">
        <v>115.34200000000001</v>
      </c>
      <c r="T17" s="52">
        <v>95.572999999999993</v>
      </c>
    </row>
    <row r="18" spans="2:23" ht="15.6" x14ac:dyDescent="0.3">
      <c r="B18" s="23" t="s">
        <v>20</v>
      </c>
      <c r="C18" s="24">
        <v>2.931</v>
      </c>
      <c r="D18" s="38">
        <v>3.27</v>
      </c>
      <c r="E18" s="38">
        <v>1.7869999999999999</v>
      </c>
      <c r="F18" s="38">
        <v>5.59</v>
      </c>
      <c r="G18" s="38">
        <v>8.298</v>
      </c>
      <c r="H18" s="25">
        <v>41.445</v>
      </c>
      <c r="I18" s="25">
        <v>44.527999999999999</v>
      </c>
      <c r="J18" s="25">
        <v>53.22</v>
      </c>
      <c r="K18" s="2"/>
      <c r="L18" s="14" t="s">
        <v>92</v>
      </c>
      <c r="M18" s="15">
        <v>53.908999999999999</v>
      </c>
      <c r="N18" s="15">
        <v>53.908999999999999</v>
      </c>
      <c r="O18" s="15">
        <v>53.908999999999999</v>
      </c>
      <c r="P18" s="15">
        <v>53.908999999999999</v>
      </c>
      <c r="Q18" s="108">
        <v>53.908999999999999</v>
      </c>
      <c r="R18" s="52">
        <v>53.908999999999999</v>
      </c>
      <c r="S18" s="52">
        <v>53.909000000000006</v>
      </c>
      <c r="T18" s="52">
        <v>53.908999999999999</v>
      </c>
    </row>
    <row r="19" spans="2:23" ht="15.6" x14ac:dyDescent="0.3">
      <c r="B19" s="23" t="s">
        <v>88</v>
      </c>
      <c r="C19" s="24">
        <v>37.655999999999999</v>
      </c>
      <c r="D19" s="38">
        <v>47.707999999999998</v>
      </c>
      <c r="E19" s="38">
        <v>51.881999999999998</v>
      </c>
      <c r="F19" s="38">
        <v>58.75</v>
      </c>
      <c r="G19" s="38">
        <v>60.802</v>
      </c>
      <c r="H19" s="25">
        <v>103.422</v>
      </c>
      <c r="I19" s="25">
        <v>144.95400000000001</v>
      </c>
      <c r="J19" s="25">
        <v>167.208</v>
      </c>
      <c r="K19" s="2"/>
      <c r="L19" s="14" t="s">
        <v>93</v>
      </c>
      <c r="M19" s="15">
        <v>0.372</v>
      </c>
      <c r="N19" s="15">
        <v>0.21099999999999999</v>
      </c>
      <c r="O19" s="15">
        <v>0.16400000000000001</v>
      </c>
      <c r="P19" s="15">
        <v>9.4E-2</v>
      </c>
      <c r="Q19" s="108">
        <v>2.1179999999999999</v>
      </c>
      <c r="R19" s="52">
        <v>4.4649999999999999</v>
      </c>
      <c r="S19" s="52">
        <v>3.3450000000000002</v>
      </c>
      <c r="T19" s="52">
        <v>2.2789999999999999</v>
      </c>
      <c r="U19" s="1"/>
      <c r="V19" s="1"/>
      <c r="W19" s="1"/>
    </row>
    <row r="20" spans="2:23" ht="15.6" x14ac:dyDescent="0.3">
      <c r="B20" s="23" t="s">
        <v>23</v>
      </c>
      <c r="C20" s="24">
        <v>43.405000000000001</v>
      </c>
      <c r="D20" s="38">
        <v>44.360999999999997</v>
      </c>
      <c r="E20" s="38">
        <v>44.271999999999998</v>
      </c>
      <c r="F20" s="38">
        <v>37.340000000000003</v>
      </c>
      <c r="G20" s="38">
        <v>41.581000000000003</v>
      </c>
      <c r="H20" s="25">
        <v>88.426000000000002</v>
      </c>
      <c r="I20" s="25">
        <v>145.70599999999999</v>
      </c>
      <c r="J20" s="25">
        <v>150.89099999999999</v>
      </c>
      <c r="K20" s="2"/>
      <c r="L20" s="14" t="s">
        <v>25</v>
      </c>
      <c r="M20" s="15">
        <v>0</v>
      </c>
      <c r="N20" s="15">
        <v>0</v>
      </c>
      <c r="O20" s="15">
        <v>0</v>
      </c>
      <c r="P20" s="15">
        <v>0</v>
      </c>
      <c r="Q20" s="108">
        <v>0</v>
      </c>
      <c r="R20" s="52"/>
      <c r="S20" s="52">
        <v>0</v>
      </c>
      <c r="T20" s="52"/>
      <c r="U20" s="1"/>
      <c r="V20" s="1"/>
      <c r="W20" s="1"/>
    </row>
    <row r="21" spans="2:23" ht="15.6" x14ac:dyDescent="0.3">
      <c r="B21" s="23" t="s">
        <v>89</v>
      </c>
      <c r="C21" s="23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2"/>
      <c r="L21" s="14" t="s">
        <v>27</v>
      </c>
      <c r="M21" s="40">
        <v>0.28799999999999998</v>
      </c>
      <c r="N21" s="40">
        <v>0.28799999999999998</v>
      </c>
      <c r="O21" s="40">
        <v>0.28799999999999998</v>
      </c>
      <c r="P21" s="40">
        <v>4.6130000000000004</v>
      </c>
      <c r="Q21" s="115">
        <v>3.6669999999999998</v>
      </c>
      <c r="R21" s="125">
        <v>5.407</v>
      </c>
      <c r="S21" s="125">
        <v>5.8280000000000003</v>
      </c>
      <c r="T21" s="125">
        <v>6.4349999999999996</v>
      </c>
    </row>
    <row r="22" spans="2:23" ht="15.6" x14ac:dyDescent="0.3">
      <c r="B22" s="19" t="s">
        <v>24</v>
      </c>
      <c r="C22" s="20">
        <f t="shared" ref="C22:D22" si="15">(C14-C19-C20+C18-C21)</f>
        <v>-9.1659999999999435</v>
      </c>
      <c r="D22" s="21">
        <f t="shared" si="15"/>
        <v>14.552999999999866</v>
      </c>
      <c r="E22" s="21">
        <f t="shared" ref="E22:J22" si="16">(E14-E19-E20+E18-E21)</f>
        <v>26.771999999999892</v>
      </c>
      <c r="F22" s="21">
        <f t="shared" si="16"/>
        <v>180.89399999999978</v>
      </c>
      <c r="G22" s="21">
        <f t="shared" si="16"/>
        <v>405.96699999999987</v>
      </c>
      <c r="H22" s="21">
        <f t="shared" si="16"/>
        <v>411.12000000000012</v>
      </c>
      <c r="I22" s="21">
        <f t="shared" si="16"/>
        <v>45.621999999999908</v>
      </c>
      <c r="J22" s="21">
        <f t="shared" si="16"/>
        <v>-88.831000000000216</v>
      </c>
      <c r="K22" s="2"/>
      <c r="L22" s="14" t="s">
        <v>29</v>
      </c>
      <c r="M22" s="15">
        <v>5.101</v>
      </c>
      <c r="N22" s="15">
        <v>4.9210000000000003</v>
      </c>
      <c r="O22" s="15">
        <v>5.008</v>
      </c>
      <c r="P22" s="15">
        <v>4.8099999999999996</v>
      </c>
      <c r="Q22" s="108">
        <v>9.8610000000000007</v>
      </c>
      <c r="R22" s="52">
        <v>33.741999999999997</v>
      </c>
      <c r="S22" s="52">
        <v>37.144999999999996</v>
      </c>
      <c r="T22" s="52">
        <v>33.908999999999999</v>
      </c>
    </row>
    <row r="23" spans="2:23" ht="15.6" x14ac:dyDescent="0.3">
      <c r="B23" s="23" t="s">
        <v>26</v>
      </c>
      <c r="C23" s="24">
        <v>4.8259999999999996</v>
      </c>
      <c r="D23" s="25">
        <v>-10.037000000000001</v>
      </c>
      <c r="E23" s="25">
        <v>2.0790000000000002</v>
      </c>
      <c r="F23" s="25">
        <v>20.050999999999998</v>
      </c>
      <c r="G23" s="25">
        <f>100.372+4.238</f>
        <v>104.61</v>
      </c>
      <c r="H23" s="25">
        <f>97.419+6.817</f>
        <v>104.23599999999999</v>
      </c>
      <c r="I23" s="25">
        <f>(597-461.67)/10</f>
        <v>13.532999999999998</v>
      </c>
      <c r="J23" s="25">
        <f>25.25-29.231</f>
        <v>-3.9810000000000016</v>
      </c>
      <c r="K23" s="2"/>
      <c r="L23" s="17" t="s">
        <v>110</v>
      </c>
      <c r="M23" s="15">
        <v>0</v>
      </c>
      <c r="N23" s="15">
        <v>0</v>
      </c>
      <c r="O23" s="15">
        <v>0</v>
      </c>
      <c r="P23" s="15">
        <v>0</v>
      </c>
      <c r="Q23" s="108">
        <v>0</v>
      </c>
      <c r="R23" s="108">
        <v>0</v>
      </c>
      <c r="S23" s="58">
        <v>8.4060000000000006</v>
      </c>
      <c r="T23" s="58">
        <v>37.637</v>
      </c>
    </row>
    <row r="24" spans="2:23" ht="16.2" thickBot="1" x14ac:dyDescent="0.35">
      <c r="B24" s="11" t="s">
        <v>28</v>
      </c>
      <c r="C24" s="41">
        <f t="shared" ref="C24:E24" si="17">(C23/C22)</f>
        <v>-0.52651101898320196</v>
      </c>
      <c r="D24" s="42">
        <f t="shared" si="17"/>
        <v>-0.68968597540026755</v>
      </c>
      <c r="E24" s="42">
        <f t="shared" si="17"/>
        <v>7.7655759748991804E-2</v>
      </c>
      <c r="F24" s="42">
        <f>(F23/F22)</f>
        <v>0.11084391964354828</v>
      </c>
      <c r="G24" s="42">
        <f>(G23/G22)</f>
        <v>0.25768104304044426</v>
      </c>
      <c r="H24" s="42">
        <f>(H23/H22)</f>
        <v>0.25354154504767457</v>
      </c>
      <c r="I24" s="42">
        <f>(I23/I22)</f>
        <v>0.29663320327912029</v>
      </c>
      <c r="J24" s="42">
        <f>(J23/J22)</f>
        <v>4.4815436052729252E-2</v>
      </c>
      <c r="K24" s="2"/>
      <c r="L24" s="27" t="s">
        <v>94</v>
      </c>
      <c r="M24" s="28">
        <v>3.782</v>
      </c>
      <c r="N24" s="28">
        <v>3.9649999999999999</v>
      </c>
      <c r="O24" s="28">
        <v>3.1349999999999998</v>
      </c>
      <c r="P24" s="28">
        <v>1.1839999999999999</v>
      </c>
      <c r="Q24" s="112">
        <v>21.074000000000002</v>
      </c>
      <c r="R24" s="124">
        <v>12.629</v>
      </c>
      <c r="S24" s="124">
        <v>45.281999999999996</v>
      </c>
      <c r="T24" s="124">
        <v>3.8029999999999999</v>
      </c>
    </row>
    <row r="25" spans="2:23" ht="16.2" thickBot="1" x14ac:dyDescent="0.35">
      <c r="B25" s="19" t="s">
        <v>30</v>
      </c>
      <c r="C25" s="20">
        <f t="shared" ref="C25:D25" si="18">(C22-C23)</f>
        <v>-13.991999999999944</v>
      </c>
      <c r="D25" s="21">
        <f t="shared" si="18"/>
        <v>24.589999999999868</v>
      </c>
      <c r="E25" s="21">
        <f t="shared" ref="E25:J25" si="19">(E22-E23)</f>
        <v>24.692999999999891</v>
      </c>
      <c r="F25" s="21">
        <f t="shared" si="19"/>
        <v>160.84299999999979</v>
      </c>
      <c r="G25" s="21">
        <f t="shared" si="19"/>
        <v>301.35699999999986</v>
      </c>
      <c r="H25" s="21">
        <f t="shared" si="19"/>
        <v>306.88400000000013</v>
      </c>
      <c r="I25" s="21">
        <f t="shared" si="19"/>
        <v>32.088999999999913</v>
      </c>
      <c r="J25" s="21">
        <f t="shared" si="19"/>
        <v>-84.850000000000222</v>
      </c>
      <c r="K25" s="2"/>
      <c r="L25" s="29" t="s">
        <v>32</v>
      </c>
      <c r="M25" s="30">
        <f t="shared" ref="M25:R25" si="20">M26+M27+M28+M29+M31+M32</f>
        <v>369.71000000000004</v>
      </c>
      <c r="N25" s="30">
        <f t="shared" si="20"/>
        <v>375.57100000000003</v>
      </c>
      <c r="O25" s="30">
        <f t="shared" si="20"/>
        <v>421.92599999999999</v>
      </c>
      <c r="P25" s="30">
        <f t="shared" si="20"/>
        <v>428.92599999999999</v>
      </c>
      <c r="Q25" s="113">
        <f t="shared" si="20"/>
        <v>684.31799999999998</v>
      </c>
      <c r="R25" s="119">
        <f t="shared" si="20"/>
        <v>976.73599999999999</v>
      </c>
      <c r="S25" s="119">
        <f>SUM(S26:S32)</f>
        <v>1239.1279999999999</v>
      </c>
      <c r="T25" s="119">
        <f>SUM(T26:T32)</f>
        <v>1302.2739999999999</v>
      </c>
    </row>
    <row r="26" spans="2:23" ht="15.6" x14ac:dyDescent="0.3">
      <c r="B26" s="19" t="s">
        <v>31</v>
      </c>
      <c r="C26" s="43">
        <f t="shared" ref="C26:J26" si="21">C25/C5</f>
        <v>-1.3980941075609137E-2</v>
      </c>
      <c r="D26" s="44">
        <f t="shared" si="21"/>
        <v>2.0700012290369121E-2</v>
      </c>
      <c r="E26" s="44">
        <f t="shared" si="21"/>
        <v>2.3982261692481511E-2</v>
      </c>
      <c r="F26" s="44">
        <f t="shared" si="21"/>
        <v>9.1793105258772406E-2</v>
      </c>
      <c r="G26" s="44">
        <f t="shared" si="21"/>
        <v>0.15059860743875367</v>
      </c>
      <c r="H26" s="44">
        <f t="shared" si="21"/>
        <v>0.12617480459153871</v>
      </c>
      <c r="I26" s="44">
        <f t="shared" si="21"/>
        <v>1.4284658626528857E-2</v>
      </c>
      <c r="J26" s="44">
        <f t="shared" si="21"/>
        <v>-2.9938292187146689E-2</v>
      </c>
      <c r="K26" s="2"/>
      <c r="L26" s="9" t="s">
        <v>95</v>
      </c>
      <c r="M26" s="26">
        <v>74.998999999999995</v>
      </c>
      <c r="N26" s="26">
        <v>68.605999999999995</v>
      </c>
      <c r="O26" s="26">
        <v>87.641000000000005</v>
      </c>
      <c r="P26" s="26">
        <v>62.915999999999997</v>
      </c>
      <c r="Q26" s="111">
        <v>110.194</v>
      </c>
      <c r="R26" s="123">
        <v>161.054</v>
      </c>
      <c r="S26" s="123">
        <v>210.97</v>
      </c>
      <c r="T26" s="123">
        <v>229.61799999999999</v>
      </c>
    </row>
    <row r="27" spans="2:23" ht="15.6" x14ac:dyDescent="0.3">
      <c r="B27" s="23" t="s">
        <v>33</v>
      </c>
      <c r="C27" s="23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2"/>
      <c r="L27" s="14" t="s">
        <v>25</v>
      </c>
      <c r="M27" s="15">
        <v>0</v>
      </c>
      <c r="N27" s="15">
        <v>0</v>
      </c>
      <c r="O27" s="15">
        <v>0</v>
      </c>
      <c r="P27" s="15">
        <v>0</v>
      </c>
      <c r="Q27" s="108">
        <v>0</v>
      </c>
      <c r="R27" s="52"/>
      <c r="S27" s="52">
        <v>0</v>
      </c>
      <c r="T27" s="52"/>
    </row>
    <row r="28" spans="2:23" ht="15.6" x14ac:dyDescent="0.3">
      <c r="B28" s="23" t="s">
        <v>34</v>
      </c>
      <c r="C28" s="23">
        <v>0</v>
      </c>
      <c r="D28" s="46">
        <v>0</v>
      </c>
      <c r="E28" s="46">
        <v>0</v>
      </c>
      <c r="F28" s="46">
        <v>0.26200000000000001</v>
      </c>
      <c r="G28" s="46">
        <f>-0.452+0.928</f>
        <v>0.47600000000000003</v>
      </c>
      <c r="H28" s="46">
        <f>1.93-1.156</f>
        <v>0.77400000000000002</v>
      </c>
      <c r="I28" s="46">
        <f>1.857-0.484</f>
        <v>1.373</v>
      </c>
      <c r="J28" s="46">
        <v>2.3039999999999998</v>
      </c>
      <c r="K28" s="2"/>
      <c r="L28" s="14" t="s">
        <v>96</v>
      </c>
      <c r="M28" s="40">
        <v>248.077</v>
      </c>
      <c r="N28" s="40">
        <v>244.77799999999999</v>
      </c>
      <c r="O28" s="40">
        <v>238.684</v>
      </c>
      <c r="P28" s="40">
        <v>262.67700000000002</v>
      </c>
      <c r="Q28" s="115">
        <v>310.94099999999997</v>
      </c>
      <c r="R28" s="125">
        <v>521.99099999999999</v>
      </c>
      <c r="S28" s="125">
        <v>649.27</v>
      </c>
      <c r="T28" s="125">
        <v>667.43799999999999</v>
      </c>
    </row>
    <row r="29" spans="2:23" ht="15.6" x14ac:dyDescent="0.3">
      <c r="B29" s="19" t="s">
        <v>35</v>
      </c>
      <c r="C29" s="20">
        <f t="shared" ref="C29:D29" si="22">(C25-C27+C28)</f>
        <v>-13.991999999999944</v>
      </c>
      <c r="D29" s="21">
        <f t="shared" si="22"/>
        <v>24.589999999999868</v>
      </c>
      <c r="E29" s="21">
        <f t="shared" ref="E29:J29" si="23">(E25-E27+E28)</f>
        <v>24.692999999999891</v>
      </c>
      <c r="F29" s="21">
        <f t="shared" si="23"/>
        <v>161.10499999999979</v>
      </c>
      <c r="G29" s="21">
        <f t="shared" si="23"/>
        <v>301.83299999999986</v>
      </c>
      <c r="H29" s="21">
        <f t="shared" si="23"/>
        <v>307.65800000000013</v>
      </c>
      <c r="I29" s="21">
        <f t="shared" si="23"/>
        <v>33.461999999999911</v>
      </c>
      <c r="J29" s="21">
        <f t="shared" si="23"/>
        <v>-82.54600000000022</v>
      </c>
      <c r="K29" s="2"/>
      <c r="L29" s="14" t="s">
        <v>97</v>
      </c>
      <c r="M29" s="15">
        <v>5.69</v>
      </c>
      <c r="N29" s="15">
        <v>2.9129999999999998</v>
      </c>
      <c r="O29" s="15">
        <v>2.9550000000000001</v>
      </c>
      <c r="P29" s="15">
        <f>2.785+0.102</f>
        <v>2.887</v>
      </c>
      <c r="Q29" s="108">
        <f>4.344+12.901</f>
        <v>17.245000000000001</v>
      </c>
      <c r="R29" s="52">
        <f>8.347+0.115</f>
        <v>8.4619999999999997</v>
      </c>
      <c r="S29" s="52">
        <v>13.963999999999999</v>
      </c>
      <c r="T29" s="52">
        <v>4.05</v>
      </c>
    </row>
    <row r="30" spans="2:23" ht="15.6" x14ac:dyDescent="0.3">
      <c r="B30" s="11" t="s">
        <v>8</v>
      </c>
      <c r="C30" s="12"/>
      <c r="D30" s="13">
        <f t="shared" ref="D30:J30" si="24">D29/C29-1</f>
        <v>-2.7574328187535713</v>
      </c>
      <c r="E30" s="13">
        <f t="shared" si="24"/>
        <v>4.1886945912983364E-3</v>
      </c>
      <c r="F30" s="13">
        <f t="shared" si="24"/>
        <v>5.5243186328109379</v>
      </c>
      <c r="G30" s="13">
        <f t="shared" si="24"/>
        <v>0.87351727134477675</v>
      </c>
      <c r="H30" s="13">
        <f t="shared" si="24"/>
        <v>1.9298751296247474E-2</v>
      </c>
      <c r="I30" s="13">
        <f t="shared" si="24"/>
        <v>-0.89123637285557378</v>
      </c>
      <c r="J30" s="13">
        <f t="shared" si="24"/>
        <v>-3.4668579283964029</v>
      </c>
      <c r="K30" s="2"/>
      <c r="L30" s="14" t="s">
        <v>112</v>
      </c>
      <c r="M30" s="15"/>
      <c r="N30" s="15"/>
      <c r="O30" s="15"/>
      <c r="P30" s="15"/>
      <c r="Q30" s="108"/>
      <c r="R30" s="52"/>
      <c r="S30" s="52">
        <v>0.746</v>
      </c>
      <c r="T30" s="52">
        <v>1.81</v>
      </c>
    </row>
    <row r="31" spans="2:23" ht="15.6" x14ac:dyDescent="0.3">
      <c r="B31" s="11" t="s">
        <v>36</v>
      </c>
      <c r="C31" s="11"/>
      <c r="D31" s="16"/>
      <c r="E31" s="16"/>
      <c r="F31" s="16">
        <f>(F29/C29)^(1/3)-1</f>
        <v>-3.2580994982719456</v>
      </c>
      <c r="G31" s="16">
        <f>(G29/D29)^(1/3)-1</f>
        <v>1.3067616918956837</v>
      </c>
      <c r="H31" s="16">
        <f>(H29/E29)^(1/3)-1</f>
        <v>1.3182741112164158</v>
      </c>
      <c r="I31" s="16">
        <f>(I29/F29)^(1/3)-1</f>
        <v>-0.40778287920020384</v>
      </c>
      <c r="J31" s="16">
        <f>(J29/G29)^(1/3)-1</f>
        <v>-1.6490972526351577</v>
      </c>
      <c r="K31" s="2"/>
      <c r="L31" s="14" t="s">
        <v>113</v>
      </c>
      <c r="M31" s="15">
        <v>2.4420000000000002</v>
      </c>
      <c r="N31" s="15">
        <v>0.129</v>
      </c>
      <c r="O31" s="15">
        <v>18.344999999999999</v>
      </c>
      <c r="P31" s="15">
        <v>15.563000000000001</v>
      </c>
      <c r="Q31" s="108">
        <v>98.864000000000004</v>
      </c>
      <c r="R31" s="52">
        <v>26.344999999999999</v>
      </c>
      <c r="S31" s="52">
        <v>119.21</v>
      </c>
      <c r="T31" s="52">
        <v>192.03299999999999</v>
      </c>
    </row>
    <row r="32" spans="2:23" ht="16.2" thickBot="1" x14ac:dyDescent="0.35">
      <c r="B32" s="47" t="s">
        <v>37</v>
      </c>
      <c r="C32" s="48">
        <v>-0.99</v>
      </c>
      <c r="D32" s="49">
        <v>1.74</v>
      </c>
      <c r="E32" s="49">
        <v>0.35</v>
      </c>
      <c r="F32" s="49">
        <v>2.27</v>
      </c>
      <c r="G32" s="49">
        <v>4.28</v>
      </c>
      <c r="H32" s="49">
        <v>4.3600000000000003</v>
      </c>
      <c r="I32" s="49">
        <v>0.68</v>
      </c>
      <c r="J32" s="49">
        <v>-0.12</v>
      </c>
      <c r="K32" s="2"/>
      <c r="L32" s="27" t="s">
        <v>38</v>
      </c>
      <c r="M32" s="28">
        <v>38.502000000000002</v>
      </c>
      <c r="N32" s="28">
        <v>59.145000000000003</v>
      </c>
      <c r="O32" s="28">
        <v>74.301000000000002</v>
      </c>
      <c r="P32" s="28">
        <v>84.882999999999996</v>
      </c>
      <c r="Q32" s="112">
        <v>147.07400000000001</v>
      </c>
      <c r="R32" s="124">
        <v>258.88400000000001</v>
      </c>
      <c r="S32" s="124">
        <v>244.96799999999999</v>
      </c>
      <c r="T32" s="124">
        <v>207.32499999999999</v>
      </c>
    </row>
    <row r="33" spans="2:20" ht="16.2" thickBot="1" x14ac:dyDescent="0.35">
      <c r="B33" s="11" t="s">
        <v>8</v>
      </c>
      <c r="C33" s="12"/>
      <c r="D33" s="13">
        <f>D32/C32-1</f>
        <v>-2.7575757575757578</v>
      </c>
      <c r="E33" s="13">
        <f t="shared" ref="E33:G33" si="25">E32/D32-1</f>
        <v>-0.79885057471264376</v>
      </c>
      <c r="F33" s="13">
        <f t="shared" si="25"/>
        <v>5.4857142857142858</v>
      </c>
      <c r="G33" s="13">
        <f t="shared" si="25"/>
        <v>0.88546255506607929</v>
      </c>
      <c r="H33" s="13">
        <f>H32/G32-1</f>
        <v>1.8691588785046731E-2</v>
      </c>
      <c r="I33" s="13">
        <f t="shared" ref="I33:J33" si="26">I32/H32-1</f>
        <v>-0.84403669724770647</v>
      </c>
      <c r="J33" s="13">
        <f t="shared" si="26"/>
        <v>-1.1764705882352942</v>
      </c>
      <c r="K33" s="2"/>
      <c r="L33" s="29" t="s">
        <v>39</v>
      </c>
      <c r="M33" s="30">
        <f t="shared" ref="M33:T33" si="27">SUM(M35:M39)+M10</f>
        <v>529.688581</v>
      </c>
      <c r="N33" s="30">
        <f t="shared" si="27"/>
        <v>455.69900000000007</v>
      </c>
      <c r="O33" s="30">
        <f t="shared" si="27"/>
        <v>421.41500000000002</v>
      </c>
      <c r="P33" s="30">
        <f t="shared" si="27"/>
        <v>341.31</v>
      </c>
      <c r="Q33" s="113">
        <f t="shared" si="27"/>
        <v>536.73700000000008</v>
      </c>
      <c r="R33" s="119">
        <f t="shared" si="27"/>
        <v>794.40100000000007</v>
      </c>
      <c r="S33" s="119">
        <f t="shared" si="27"/>
        <v>1029.27</v>
      </c>
      <c r="T33" s="119">
        <f t="shared" si="27"/>
        <v>1263.9679999999998</v>
      </c>
    </row>
    <row r="34" spans="2:20" ht="16.2" thickBot="1" x14ac:dyDescent="0.35">
      <c r="B34" s="53" t="s">
        <v>9</v>
      </c>
      <c r="C34" s="53"/>
      <c r="D34" s="54"/>
      <c r="E34" s="54"/>
      <c r="F34" s="54">
        <f>(F32/C32)^(1/3)-1</f>
        <v>-2.318652070017222</v>
      </c>
      <c r="G34" s="54">
        <f>(G32/D32)^(1/3)-1</f>
        <v>0.34988935809149968</v>
      </c>
      <c r="H34" s="54">
        <f>(H32/E32)^(1/3)-1</f>
        <v>1.3181390433013278</v>
      </c>
      <c r="I34" s="54">
        <f t="shared" ref="I34:J34" si="28">(I32/F32)^(1/3)-1</f>
        <v>-0.33089488197323602</v>
      </c>
      <c r="J34" s="54">
        <f t="shared" si="28"/>
        <v>-1.3037939767859816</v>
      </c>
      <c r="K34" s="2"/>
      <c r="L34" s="9" t="s">
        <v>40</v>
      </c>
      <c r="M34" s="50"/>
      <c r="N34" s="51"/>
      <c r="O34" s="51"/>
      <c r="P34" s="51"/>
      <c r="Q34" s="116"/>
      <c r="R34" s="50"/>
      <c r="S34" s="50">
        <v>0</v>
      </c>
      <c r="T34" s="50">
        <v>0</v>
      </c>
    </row>
    <row r="35" spans="2:20" ht="16.2" thickBot="1" x14ac:dyDescent="0.35">
      <c r="B35" s="35"/>
      <c r="C35" s="35"/>
      <c r="D35" s="35"/>
      <c r="E35" s="35"/>
      <c r="F35" s="35"/>
      <c r="G35" s="35"/>
      <c r="H35" s="35"/>
      <c r="I35" s="35"/>
      <c r="J35" s="35"/>
      <c r="K35" s="2"/>
      <c r="L35" s="14" t="s">
        <v>41</v>
      </c>
      <c r="M35" s="52">
        <v>154.73633699999999</v>
      </c>
      <c r="N35" s="15">
        <v>172.98400000000001</v>
      </c>
      <c r="O35" s="15">
        <v>158.898</v>
      </c>
      <c r="P35" s="15">
        <v>162.02699999999999</v>
      </c>
      <c r="Q35" s="108">
        <v>179.012</v>
      </c>
      <c r="R35" s="52">
        <v>237.946</v>
      </c>
      <c r="S35" s="52">
        <v>292.68500000000006</v>
      </c>
      <c r="T35" s="52">
        <f>44.501+262.527</f>
        <v>307.02799999999996</v>
      </c>
    </row>
    <row r="36" spans="2:20" ht="16.2" thickBot="1" x14ac:dyDescent="0.35">
      <c r="B36" s="3" t="s">
        <v>44</v>
      </c>
      <c r="C36" s="57" t="s">
        <v>3</v>
      </c>
      <c r="D36" s="4" t="s">
        <v>4</v>
      </c>
      <c r="E36" s="4" t="s">
        <v>5</v>
      </c>
      <c r="F36" s="4" t="s">
        <v>6</v>
      </c>
      <c r="G36" s="4" t="s">
        <v>105</v>
      </c>
      <c r="H36" s="4" t="s">
        <v>108</v>
      </c>
      <c r="I36" s="4" t="s">
        <v>109</v>
      </c>
      <c r="J36" s="120" t="s">
        <v>111</v>
      </c>
      <c r="K36" s="2"/>
      <c r="L36" s="14" t="s">
        <v>42</v>
      </c>
      <c r="M36" s="55">
        <v>79.087599999999995</v>
      </c>
      <c r="N36" s="56">
        <v>26.184999999999999</v>
      </c>
      <c r="O36" s="56">
        <v>1.1040000000000001</v>
      </c>
      <c r="P36" s="56">
        <v>1.1259999999999999</v>
      </c>
      <c r="Q36" s="105">
        <v>0.16800000000000001</v>
      </c>
      <c r="R36" s="55">
        <v>0.215</v>
      </c>
      <c r="S36" s="55">
        <v>0.38</v>
      </c>
      <c r="T36" s="55">
        <v>0.29199999999999998</v>
      </c>
    </row>
    <row r="37" spans="2:20" ht="15.6" x14ac:dyDescent="0.3">
      <c r="B37" s="60" t="s">
        <v>45</v>
      </c>
      <c r="C37" s="61">
        <v>8.4220000000000006</v>
      </c>
      <c r="D37" s="61">
        <v>4.891</v>
      </c>
      <c r="E37" s="61">
        <v>2.9129999999999998</v>
      </c>
      <c r="F37" s="61">
        <v>2.9550000000000001</v>
      </c>
      <c r="G37" s="61">
        <v>2.7850000000000001</v>
      </c>
      <c r="H37" s="61">
        <v>4.3440000000000003</v>
      </c>
      <c r="I37" s="61">
        <v>8.3469999999999995</v>
      </c>
      <c r="J37" s="61">
        <v>13.964</v>
      </c>
      <c r="K37" s="2"/>
      <c r="L37" s="14" t="s">
        <v>43</v>
      </c>
      <c r="M37" s="52">
        <v>14.367649</v>
      </c>
      <c r="N37" s="15">
        <v>13.824</v>
      </c>
      <c r="O37" s="15">
        <v>17.187000000000001</v>
      </c>
      <c r="P37" s="15">
        <v>31.587</v>
      </c>
      <c r="Q37" s="108">
        <v>30.594999999999999</v>
      </c>
      <c r="R37" s="52">
        <v>42.241999999999997</v>
      </c>
      <c r="S37" s="52">
        <v>43.414000000000001</v>
      </c>
      <c r="T37" s="52">
        <v>60.938000000000002</v>
      </c>
    </row>
    <row r="38" spans="2:20" ht="15.6" x14ac:dyDescent="0.3">
      <c r="B38" s="62" t="s">
        <v>46</v>
      </c>
      <c r="C38" s="63">
        <v>36.533999999999999</v>
      </c>
      <c r="D38" s="63">
        <v>34.759</v>
      </c>
      <c r="E38" s="63">
        <v>37.619999999999997</v>
      </c>
      <c r="F38" s="63">
        <v>243.63200000000001</v>
      </c>
      <c r="G38" s="63">
        <v>322.37200000000001</v>
      </c>
      <c r="H38" s="63">
        <v>199.316</v>
      </c>
      <c r="I38" s="63">
        <v>129.494</v>
      </c>
      <c r="J38" s="63">
        <v>189.95699999999999</v>
      </c>
      <c r="K38" s="2"/>
      <c r="L38" s="17" t="s">
        <v>107</v>
      </c>
      <c r="M38" s="58"/>
      <c r="N38" s="59"/>
      <c r="O38" s="59"/>
      <c r="P38" s="59"/>
      <c r="Q38" s="117">
        <v>0.92100000000000004</v>
      </c>
      <c r="R38" s="58">
        <v>1.4530000000000001</v>
      </c>
      <c r="S38" s="58">
        <v>1.597</v>
      </c>
      <c r="T38" s="58">
        <v>2.004</v>
      </c>
    </row>
    <row r="39" spans="2:20" ht="16.2" thickBot="1" x14ac:dyDescent="0.35">
      <c r="B39" s="62" t="s">
        <v>47</v>
      </c>
      <c r="C39" s="63">
        <v>-64.191999999999993</v>
      </c>
      <c r="D39" s="63">
        <v>-52.264000000000003</v>
      </c>
      <c r="E39" s="63">
        <v>-99.706999999999994</v>
      </c>
      <c r="F39" s="63">
        <v>-49.976999999999997</v>
      </c>
      <c r="G39" s="63">
        <v>-730.30499999999995</v>
      </c>
      <c r="H39" s="63">
        <v>-666.721</v>
      </c>
      <c r="I39" s="63">
        <v>-806.22699999999998</v>
      </c>
      <c r="J39" s="63">
        <v>-237.88</v>
      </c>
      <c r="K39" s="2"/>
      <c r="L39" s="17" t="s">
        <v>98</v>
      </c>
      <c r="M39" s="58">
        <v>10.342079</v>
      </c>
      <c r="N39" s="59">
        <v>2.7160000000000002</v>
      </c>
      <c r="O39" s="59">
        <v>2.5640000000000001</v>
      </c>
      <c r="P39" s="59">
        <v>21.678999999999998</v>
      </c>
      <c r="Q39" s="117">
        <v>98.478999999999999</v>
      </c>
      <c r="R39" s="58">
        <v>94.724000000000004</v>
      </c>
      <c r="S39" s="58">
        <v>57.029999999999994</v>
      </c>
      <c r="T39" s="58">
        <v>21.824000000000002</v>
      </c>
    </row>
    <row r="40" spans="2:20" ht="16.2" thickBot="1" x14ac:dyDescent="0.35">
      <c r="B40" s="62" t="s">
        <v>49</v>
      </c>
      <c r="C40" s="63">
        <v>24.126999999999999</v>
      </c>
      <c r="D40" s="63">
        <v>15.507</v>
      </c>
      <c r="E40" s="63">
        <v>62.128999999999998</v>
      </c>
      <c r="F40" s="63">
        <v>-193.82499999999999</v>
      </c>
      <c r="G40" s="63">
        <v>409.49099999999999</v>
      </c>
      <c r="H40" s="63">
        <v>471.40899999999999</v>
      </c>
      <c r="I40" s="63">
        <v>682.34900000000005</v>
      </c>
      <c r="J40" s="63">
        <v>38.01</v>
      </c>
      <c r="K40" s="2"/>
      <c r="L40" s="5" t="s">
        <v>103</v>
      </c>
      <c r="M40" s="22">
        <f t="shared" ref="M40:T40" si="29">M25-M33</f>
        <v>-159.97858099999996</v>
      </c>
      <c r="N40" s="22">
        <f t="shared" si="29"/>
        <v>-80.128000000000043</v>
      </c>
      <c r="O40" s="22">
        <f t="shared" si="29"/>
        <v>0.51099999999996726</v>
      </c>
      <c r="P40" s="22">
        <f t="shared" si="29"/>
        <v>87.615999999999985</v>
      </c>
      <c r="Q40" s="110">
        <f t="shared" si="29"/>
        <v>147.5809999999999</v>
      </c>
      <c r="R40" s="33">
        <f t="shared" si="29"/>
        <v>182.33499999999992</v>
      </c>
      <c r="S40" s="33">
        <f t="shared" si="29"/>
        <v>209.85799999999995</v>
      </c>
      <c r="T40" s="33">
        <f t="shared" si="29"/>
        <v>38.30600000000004</v>
      </c>
    </row>
    <row r="41" spans="2:20" ht="16.2" thickBot="1" x14ac:dyDescent="0.35">
      <c r="B41" s="64" t="s">
        <v>51</v>
      </c>
      <c r="C41" s="65">
        <f t="shared" ref="C41" si="30">C38+C39+C40</f>
        <v>-3.5309999999999953</v>
      </c>
      <c r="D41" s="65">
        <f t="shared" ref="D41:F41" si="31">D38+D39+D40</f>
        <v>-1.9980000000000029</v>
      </c>
      <c r="E41" s="65">
        <f t="shared" si="31"/>
        <v>4.2000000000001592E-2</v>
      </c>
      <c r="F41" s="65">
        <f t="shared" si="31"/>
        <v>-0.16999999999998749</v>
      </c>
      <c r="G41" s="65">
        <f t="shared" ref="G41:J41" si="32">G38+G39+G40</f>
        <v>1.5580000000000496</v>
      </c>
      <c r="H41" s="65">
        <f t="shared" si="32"/>
        <v>4.0040000000000191</v>
      </c>
      <c r="I41" s="65">
        <f t="shared" si="32"/>
        <v>5.6160000000000991</v>
      </c>
      <c r="J41" s="65">
        <f t="shared" si="32"/>
        <v>-9.9130000000000038</v>
      </c>
      <c r="K41" s="2"/>
      <c r="L41" s="29" t="s">
        <v>99</v>
      </c>
      <c r="M41" s="30">
        <f>M42+M44+M9</f>
        <v>218.705186</v>
      </c>
      <c r="N41" s="30">
        <f>N42+N44+N9</f>
        <v>308.274</v>
      </c>
      <c r="O41" s="30">
        <f>O42+O44+O9</f>
        <v>396.85599999999999</v>
      </c>
      <c r="P41" s="30">
        <f>P42+P44+P9</f>
        <v>328.73900000000003</v>
      </c>
      <c r="Q41" s="113">
        <f>SUM(Q42:Q44)+Q9</f>
        <v>682.875</v>
      </c>
      <c r="R41" s="119">
        <f>SUM(R42:R44)+R9</f>
        <v>1055.1400000000001</v>
      </c>
      <c r="S41" s="119">
        <f>SUM(S42:S44)+S9</f>
        <v>1257.7020000000002</v>
      </c>
      <c r="T41" s="119">
        <f>SUM(T42:T44)+T9</f>
        <v>1157.5739999999998</v>
      </c>
    </row>
    <row r="42" spans="2:20" ht="16.2" thickBot="1" x14ac:dyDescent="0.35">
      <c r="B42" s="67" t="s">
        <v>53</v>
      </c>
      <c r="C42" s="68">
        <f>C37+C41</f>
        <v>4.8910000000000053</v>
      </c>
      <c r="D42" s="69">
        <f t="shared" ref="D42:F42" si="33">D37+D41</f>
        <v>2.8929999999999971</v>
      </c>
      <c r="E42" s="70">
        <f t="shared" si="33"/>
        <v>2.9550000000000014</v>
      </c>
      <c r="F42" s="70">
        <f t="shared" si="33"/>
        <v>2.7850000000000126</v>
      </c>
      <c r="G42" s="70">
        <f t="shared" ref="G42:H42" si="34">G37+G41</f>
        <v>4.3430000000000497</v>
      </c>
      <c r="H42" s="70">
        <f t="shared" si="34"/>
        <v>8.3480000000000203</v>
      </c>
      <c r="I42" s="70">
        <f t="shared" ref="I42:J42" si="35">I37+I41</f>
        <v>13.963000000000099</v>
      </c>
      <c r="J42" s="70">
        <f t="shared" si="35"/>
        <v>4.0509999999999966</v>
      </c>
      <c r="K42" s="2"/>
      <c r="L42" s="9" t="s">
        <v>48</v>
      </c>
      <c r="M42" s="26">
        <v>43.369463000000003</v>
      </c>
      <c r="N42" s="26">
        <v>29.297000000000001</v>
      </c>
      <c r="O42" s="26">
        <v>28.283999999999999</v>
      </c>
      <c r="P42" s="26">
        <v>26.706</v>
      </c>
      <c r="Q42" s="111">
        <v>30.943999999999999</v>
      </c>
      <c r="R42" s="123">
        <v>37.761000000000003</v>
      </c>
      <c r="S42" s="123">
        <v>0</v>
      </c>
      <c r="T42" s="136">
        <v>0</v>
      </c>
    </row>
    <row r="43" spans="2:20" ht="16.2" thickBot="1" x14ac:dyDescent="0.35">
      <c r="B43" s="35"/>
      <c r="C43" s="35"/>
      <c r="D43" s="35"/>
      <c r="E43" s="35"/>
      <c r="F43" s="35"/>
      <c r="G43" s="35"/>
      <c r="H43" s="102"/>
      <c r="I43" s="102"/>
      <c r="J43" s="102"/>
      <c r="K43" s="2"/>
      <c r="L43" s="9" t="s">
        <v>107</v>
      </c>
      <c r="M43" s="66"/>
      <c r="N43" s="66"/>
      <c r="O43" s="66"/>
      <c r="P43" s="66"/>
      <c r="Q43" s="118">
        <v>6.4210000000000003</v>
      </c>
      <c r="R43" s="126">
        <v>9.9</v>
      </c>
      <c r="S43" s="126">
        <v>10.282999999999999</v>
      </c>
      <c r="T43" s="126">
        <v>12.872</v>
      </c>
    </row>
    <row r="44" spans="2:20" ht="16.2" thickBot="1" x14ac:dyDescent="0.35">
      <c r="B44" s="5" t="s">
        <v>55</v>
      </c>
      <c r="C44" s="57" t="s">
        <v>3</v>
      </c>
      <c r="D44" s="4" t="s">
        <v>4</v>
      </c>
      <c r="E44" s="4" t="s">
        <v>5</v>
      </c>
      <c r="F44" s="4" t="s">
        <v>6</v>
      </c>
      <c r="G44" s="4" t="s">
        <v>105</v>
      </c>
      <c r="H44" s="4" t="s">
        <v>108</v>
      </c>
      <c r="I44" s="4" t="s">
        <v>109</v>
      </c>
      <c r="J44" s="4" t="s">
        <v>111</v>
      </c>
      <c r="K44" s="2"/>
      <c r="L44" s="71" t="s">
        <v>100</v>
      </c>
      <c r="M44" s="28">
        <v>0.4</v>
      </c>
      <c r="N44" s="28">
        <v>0.3</v>
      </c>
      <c r="O44" s="28">
        <v>0.8</v>
      </c>
      <c r="P44" s="28">
        <v>0.7</v>
      </c>
      <c r="Q44" s="112">
        <v>0.2</v>
      </c>
      <c r="R44" s="124">
        <v>0.2</v>
      </c>
      <c r="S44" s="124">
        <v>0.8</v>
      </c>
      <c r="T44" s="124">
        <v>0.9</v>
      </c>
    </row>
    <row r="45" spans="2:20" ht="16.2" thickBot="1" x14ac:dyDescent="0.35">
      <c r="B45" s="72" t="s">
        <v>56</v>
      </c>
      <c r="C45" s="73">
        <f t="shared" ref="C45" si="36">C38</f>
        <v>36.533999999999999</v>
      </c>
      <c r="D45" s="73">
        <f t="shared" ref="D45:F45" si="37">D38</f>
        <v>34.759</v>
      </c>
      <c r="E45" s="73">
        <f t="shared" si="37"/>
        <v>37.619999999999997</v>
      </c>
      <c r="F45" s="73">
        <f t="shared" si="37"/>
        <v>243.63200000000001</v>
      </c>
      <c r="G45" s="73">
        <f>G38</f>
        <v>322.37200000000001</v>
      </c>
      <c r="H45" s="73">
        <f t="shared" ref="H45:J45" si="38">H38</f>
        <v>199.316</v>
      </c>
      <c r="I45" s="73">
        <f t="shared" si="38"/>
        <v>129.494</v>
      </c>
      <c r="J45" s="73">
        <f t="shared" si="38"/>
        <v>189.95699999999999</v>
      </c>
      <c r="K45" s="2"/>
      <c r="L45" s="29" t="s">
        <v>50</v>
      </c>
      <c r="M45" s="30">
        <f t="shared" ref="M45:T45" si="39">M25+M15</f>
        <v>1022.4160000000001</v>
      </c>
      <c r="N45" s="30">
        <f t="shared" si="39"/>
        <v>1062.587</v>
      </c>
      <c r="O45" s="30">
        <f t="shared" si="39"/>
        <v>1138.0360000000001</v>
      </c>
      <c r="P45" s="30">
        <f t="shared" si="39"/>
        <v>1140.298</v>
      </c>
      <c r="Q45" s="113">
        <f t="shared" si="39"/>
        <v>1990.623</v>
      </c>
      <c r="R45" s="119">
        <f t="shared" si="39"/>
        <v>2935.817</v>
      </c>
      <c r="S45" s="119">
        <f t="shared" si="39"/>
        <v>3779.0140000000001</v>
      </c>
      <c r="T45" s="119">
        <f t="shared" si="39"/>
        <v>3885.0569999999998</v>
      </c>
    </row>
    <row r="46" spans="2:20" ht="16.2" thickBot="1" x14ac:dyDescent="0.35">
      <c r="B46" s="74" t="s">
        <v>58</v>
      </c>
      <c r="C46" s="75">
        <v>-24.097999999999999</v>
      </c>
      <c r="D46" s="75">
        <v>-56.564999999999998</v>
      </c>
      <c r="E46" s="75">
        <v>-83.665999999999997</v>
      </c>
      <c r="F46" s="75">
        <f>'[1]Peer Sheet'!$B$28</f>
        <v>5</v>
      </c>
      <c r="G46" s="75">
        <v>229.24</v>
      </c>
      <c r="H46" s="75">
        <f>103.555+35.782</f>
        <v>139.33699999999999</v>
      </c>
      <c r="I46" s="75">
        <v>-685.11800000000005</v>
      </c>
      <c r="J46" s="75">
        <v>-226.321</v>
      </c>
      <c r="K46" s="2"/>
      <c r="L46" s="29" t="s">
        <v>52</v>
      </c>
      <c r="M46" s="30">
        <f>M8+M33+M41</f>
        <v>1022.416527</v>
      </c>
      <c r="N46" s="30">
        <f>N8+N33+N41</f>
        <v>1062.5860000000002</v>
      </c>
      <c r="O46" s="30">
        <f>O8+O33+O41</f>
        <v>1138.037</v>
      </c>
      <c r="P46" s="30">
        <f>P8+P33+P41</f>
        <v>1140.3009999999999</v>
      </c>
      <c r="Q46" s="113">
        <f>Q41+Q33+Q8-0.01</f>
        <v>1990.615</v>
      </c>
      <c r="R46" s="119">
        <f>R41+R33+R8-0.01</f>
        <v>2935.808</v>
      </c>
      <c r="S46" s="119">
        <f>S41+S33+S8-0.01</f>
        <v>3779.0239999999999</v>
      </c>
      <c r="T46" s="119">
        <f>T41+T33+T8-0.01</f>
        <v>3885.0469999999991</v>
      </c>
    </row>
    <row r="47" spans="2:20" ht="16.2" thickBot="1" x14ac:dyDescent="0.35">
      <c r="B47" s="29" t="s">
        <v>60</v>
      </c>
      <c r="C47" s="30">
        <f t="shared" ref="C47" si="40">C45-C46</f>
        <v>60.631999999999998</v>
      </c>
      <c r="D47" s="30">
        <f t="shared" ref="D47:F47" si="41">D45-D46</f>
        <v>91.323999999999998</v>
      </c>
      <c r="E47" s="30">
        <f t="shared" si="41"/>
        <v>121.286</v>
      </c>
      <c r="F47" s="30">
        <f t="shared" si="41"/>
        <v>238.63200000000001</v>
      </c>
      <c r="G47" s="30">
        <f>G45-G46</f>
        <v>93.132000000000005</v>
      </c>
      <c r="H47" s="30">
        <f>H45-H46</f>
        <v>59.979000000000013</v>
      </c>
      <c r="I47" s="30">
        <f>I45+I46</f>
        <v>-555.62400000000002</v>
      </c>
      <c r="J47" s="30">
        <f>J45+J46</f>
        <v>-36.364000000000004</v>
      </c>
      <c r="K47" s="2"/>
      <c r="L47" s="35"/>
      <c r="M47" s="35"/>
      <c r="N47" s="35"/>
      <c r="O47" s="35"/>
      <c r="P47" s="35"/>
      <c r="Q47" s="35"/>
    </row>
    <row r="48" spans="2:20" ht="16.2" thickBot="1" x14ac:dyDescent="0.35">
      <c r="B48" s="35"/>
      <c r="C48" s="35"/>
      <c r="D48" s="35"/>
      <c r="E48" s="35"/>
      <c r="F48" s="35"/>
      <c r="G48" s="35"/>
      <c r="H48" s="102"/>
      <c r="I48" s="102"/>
      <c r="J48" s="102"/>
      <c r="K48" s="2"/>
      <c r="L48" s="140" t="s">
        <v>54</v>
      </c>
      <c r="M48" s="141"/>
      <c r="N48" s="141"/>
      <c r="O48" s="141"/>
      <c r="P48" s="141"/>
      <c r="Q48" s="141"/>
      <c r="R48" s="141"/>
      <c r="S48" s="141"/>
      <c r="T48" s="144"/>
    </row>
    <row r="49" spans="2:21" ht="16.2" thickBot="1" x14ac:dyDescent="0.35">
      <c r="B49" s="5" t="s">
        <v>55</v>
      </c>
      <c r="C49" s="57" t="s">
        <v>3</v>
      </c>
      <c r="D49" s="4" t="s">
        <v>4</v>
      </c>
      <c r="E49" s="4" t="s">
        <v>5</v>
      </c>
      <c r="F49" s="4" t="s">
        <v>6</v>
      </c>
      <c r="G49" s="4" t="s">
        <v>105</v>
      </c>
      <c r="H49" s="4" t="s">
        <v>108</v>
      </c>
      <c r="I49" s="4" t="s">
        <v>109</v>
      </c>
      <c r="J49" s="4" t="s">
        <v>111</v>
      </c>
      <c r="K49" s="2"/>
      <c r="L49" s="145"/>
      <c r="M49" s="57" t="s">
        <v>3</v>
      </c>
      <c r="N49" s="4" t="s">
        <v>4</v>
      </c>
      <c r="O49" s="4" t="s">
        <v>5</v>
      </c>
      <c r="P49" s="4" t="s">
        <v>6</v>
      </c>
      <c r="Q49" s="4" t="s">
        <v>105</v>
      </c>
      <c r="R49" s="4" t="s">
        <v>108</v>
      </c>
      <c r="S49" s="4" t="s">
        <v>109</v>
      </c>
      <c r="T49" s="4" t="s">
        <v>111</v>
      </c>
    </row>
    <row r="50" spans="2:21" ht="15.6" x14ac:dyDescent="0.3">
      <c r="B50" s="79" t="s">
        <v>64</v>
      </c>
      <c r="C50" s="80">
        <v>14157575</v>
      </c>
      <c r="D50" s="80">
        <v>14157575</v>
      </c>
      <c r="E50" s="80">
        <v>14157575</v>
      </c>
      <c r="F50" s="80">
        <v>70787875</v>
      </c>
      <c r="G50" s="80">
        <v>70787876</v>
      </c>
      <c r="H50" s="80">
        <v>70787875</v>
      </c>
      <c r="I50" s="80">
        <v>141575750</v>
      </c>
      <c r="J50" s="80">
        <v>141575750</v>
      </c>
      <c r="K50" s="2"/>
      <c r="L50" s="76" t="s">
        <v>57</v>
      </c>
      <c r="M50" s="77">
        <v>34.4</v>
      </c>
      <c r="N50" s="78">
        <v>37.049999999999997</v>
      </c>
      <c r="O50" s="78">
        <v>110.25</v>
      </c>
      <c r="P50" s="78">
        <v>91.05</v>
      </c>
      <c r="Q50" s="78">
        <v>127.6</v>
      </c>
      <c r="R50" s="78">
        <v>200.55</v>
      </c>
      <c r="S50" s="78">
        <v>62.37</v>
      </c>
      <c r="T50" s="78">
        <v>38.21</v>
      </c>
    </row>
    <row r="51" spans="2:21" ht="15.6" x14ac:dyDescent="0.3">
      <c r="B51" s="23" t="s">
        <v>66</v>
      </c>
      <c r="C51" s="45">
        <f t="shared" ref="C51:J51" si="42">(M50*C50)/1000000</f>
        <v>487.02058</v>
      </c>
      <c r="D51" s="45">
        <f t="shared" si="42"/>
        <v>524.53815374999999</v>
      </c>
      <c r="E51" s="45">
        <f t="shared" si="42"/>
        <v>1560.87264375</v>
      </c>
      <c r="F51" s="45">
        <f t="shared" si="42"/>
        <v>6445.2360187499999</v>
      </c>
      <c r="G51" s="45">
        <f t="shared" si="42"/>
        <v>9032.5329775999999</v>
      </c>
      <c r="H51" s="45">
        <f t="shared" si="42"/>
        <v>14196.508331249999</v>
      </c>
      <c r="I51" s="45">
        <f t="shared" si="42"/>
        <v>8830.0795275</v>
      </c>
      <c r="J51" s="45">
        <f t="shared" si="42"/>
        <v>5409.6094075000001</v>
      </c>
      <c r="K51" s="2"/>
      <c r="L51" s="14" t="s">
        <v>59</v>
      </c>
      <c r="M51" s="25">
        <f t="shared" ref="M51:T51" si="43">C32</f>
        <v>-0.99</v>
      </c>
      <c r="N51" s="25">
        <f t="shared" si="43"/>
        <v>1.74</v>
      </c>
      <c r="O51" s="25">
        <f t="shared" si="43"/>
        <v>0.35</v>
      </c>
      <c r="P51" s="25">
        <f t="shared" si="43"/>
        <v>2.27</v>
      </c>
      <c r="Q51" s="25">
        <f t="shared" si="43"/>
        <v>4.28</v>
      </c>
      <c r="R51" s="25">
        <f t="shared" si="43"/>
        <v>4.3600000000000003</v>
      </c>
      <c r="S51" s="25">
        <f t="shared" si="43"/>
        <v>0.68</v>
      </c>
      <c r="T51" s="25">
        <f t="shared" si="43"/>
        <v>-0.12</v>
      </c>
    </row>
    <row r="52" spans="2:21" ht="15.6" x14ac:dyDescent="0.3">
      <c r="B52" s="23" t="s">
        <v>68</v>
      </c>
      <c r="C52" s="85">
        <f t="shared" ref="C52:J52" si="44">M11</f>
        <v>446.09063900000001</v>
      </c>
      <c r="D52" s="85">
        <f t="shared" si="44"/>
        <v>518.66700000000003</v>
      </c>
      <c r="E52" s="85">
        <f t="shared" si="44"/>
        <v>609.43399999999997</v>
      </c>
      <c r="F52" s="85">
        <f t="shared" si="44"/>
        <v>426.22400000000005</v>
      </c>
      <c r="G52" s="85">
        <f t="shared" si="44"/>
        <v>872.87199999999996</v>
      </c>
      <c r="H52" s="85">
        <f t="shared" si="44"/>
        <v>1425.1</v>
      </c>
      <c r="I52" s="85">
        <f t="shared" si="44"/>
        <v>1880.7830000000001</v>
      </c>
      <c r="J52" s="85">
        <f t="shared" si="44"/>
        <v>2015.6839999999997</v>
      </c>
      <c r="K52" s="2"/>
      <c r="L52" s="81" t="s">
        <v>61</v>
      </c>
      <c r="M52" s="82">
        <f t="shared" ref="M52:T52" si="45">M8*1000000/C50</f>
        <v>19.355204545976271</v>
      </c>
      <c r="N52" s="82">
        <f t="shared" si="45"/>
        <v>21.092100871794781</v>
      </c>
      <c r="O52" s="82">
        <f t="shared" si="45"/>
        <v>22.586212681197164</v>
      </c>
      <c r="P52" s="82">
        <f t="shared" si="45"/>
        <v>6.6431150815023043</v>
      </c>
      <c r="Q52" s="82">
        <f t="shared" si="45"/>
        <v>10.891879281700723</v>
      </c>
      <c r="R52" s="82">
        <f t="shared" si="45"/>
        <v>15.345523509499332</v>
      </c>
      <c r="S52" s="82">
        <f t="shared" si="45"/>
        <v>10.538965889285418</v>
      </c>
      <c r="T52" s="82">
        <f t="shared" si="45"/>
        <v>10.337328250071073</v>
      </c>
    </row>
    <row r="53" spans="2:21" ht="16.2" thickBot="1" x14ac:dyDescent="0.35">
      <c r="B53" s="86" t="s">
        <v>70</v>
      </c>
      <c r="C53" s="87">
        <f t="shared" ref="C53:J53" si="46">M29</f>
        <v>5.69</v>
      </c>
      <c r="D53" s="87">
        <f t="shared" si="46"/>
        <v>2.9129999999999998</v>
      </c>
      <c r="E53" s="87">
        <f t="shared" si="46"/>
        <v>2.9550000000000001</v>
      </c>
      <c r="F53" s="87">
        <f t="shared" si="46"/>
        <v>2.887</v>
      </c>
      <c r="G53" s="87">
        <f t="shared" si="46"/>
        <v>17.245000000000001</v>
      </c>
      <c r="H53" s="87">
        <f t="shared" si="46"/>
        <v>8.4619999999999997</v>
      </c>
      <c r="I53" s="87">
        <f t="shared" si="46"/>
        <v>13.963999999999999</v>
      </c>
      <c r="J53" s="87">
        <f t="shared" si="46"/>
        <v>4.05</v>
      </c>
      <c r="K53" s="2"/>
      <c r="L53" s="83" t="s">
        <v>62</v>
      </c>
      <c r="M53" s="84">
        <v>0</v>
      </c>
      <c r="N53" s="84">
        <v>0.25</v>
      </c>
      <c r="O53" s="84">
        <v>0.25</v>
      </c>
      <c r="P53" s="84">
        <v>0.3</v>
      </c>
      <c r="Q53" s="84">
        <v>0.4</v>
      </c>
      <c r="R53" s="84">
        <v>0.2</v>
      </c>
      <c r="S53" s="84">
        <v>0.2</v>
      </c>
      <c r="T53" s="84">
        <v>0.2</v>
      </c>
    </row>
    <row r="54" spans="2:21" ht="16.2" thickBot="1" x14ac:dyDescent="0.35">
      <c r="B54" s="67" t="s">
        <v>72</v>
      </c>
      <c r="C54" s="89">
        <f>C51+C52-C53</f>
        <v>927.42121899999995</v>
      </c>
      <c r="D54" s="89">
        <f t="shared" ref="D54:F54" si="47">D51+D52-D53</f>
        <v>1040.2921537500001</v>
      </c>
      <c r="E54" s="89">
        <f t="shared" si="47"/>
        <v>2167.3516437500002</v>
      </c>
      <c r="F54" s="89">
        <f t="shared" si="47"/>
        <v>6868.5730187500003</v>
      </c>
      <c r="G54" s="89">
        <f t="shared" ref="G54:H54" si="48">G51+G52-G53</f>
        <v>9888.1599775999985</v>
      </c>
      <c r="H54" s="89">
        <f t="shared" si="48"/>
        <v>15613.14633125</v>
      </c>
      <c r="I54" s="89">
        <f t="shared" ref="I54:J54" si="49">I51+I52-I53</f>
        <v>10696.8985275</v>
      </c>
      <c r="J54" s="89">
        <f t="shared" si="49"/>
        <v>7421.2434074999992</v>
      </c>
      <c r="K54" s="2"/>
      <c r="L54" s="81" t="s">
        <v>63</v>
      </c>
      <c r="M54" s="84">
        <f>M50/M51</f>
        <v>-34.747474747474747</v>
      </c>
      <c r="N54" s="84">
        <f t="shared" ref="N54:P54" si="50">N50/N51</f>
        <v>21.293103448275861</v>
      </c>
      <c r="O54" s="84">
        <f t="shared" si="50"/>
        <v>315</v>
      </c>
      <c r="P54" s="84">
        <f t="shared" si="50"/>
        <v>40.110132158590304</v>
      </c>
      <c r="Q54" s="84">
        <f t="shared" ref="Q54" si="51">Q50/Q51</f>
        <v>29.813084112149529</v>
      </c>
      <c r="R54" s="84">
        <f t="shared" ref="R54:S54" si="52">R50/R51</f>
        <v>45.997706422018346</v>
      </c>
      <c r="S54" s="84">
        <f t="shared" si="52"/>
        <v>91.720588235294102</v>
      </c>
      <c r="T54" s="84">
        <f t="shared" ref="T54" si="53">T50/T51</f>
        <v>-318.41666666666669</v>
      </c>
    </row>
    <row r="55" spans="2:21" ht="15.6" x14ac:dyDescent="0.3">
      <c r="B55" s="35"/>
      <c r="C55" s="35"/>
      <c r="D55" s="35"/>
      <c r="E55" s="35"/>
      <c r="F55" s="35"/>
      <c r="G55" s="35"/>
      <c r="H55" s="35"/>
      <c r="I55" s="35"/>
      <c r="J55" s="35"/>
      <c r="K55" s="2"/>
      <c r="L55" s="81" t="s">
        <v>65</v>
      </c>
      <c r="M55" s="88">
        <f t="shared" ref="M55:R55" si="54">M50/M52</f>
        <v>1.7772997396274672</v>
      </c>
      <c r="N55" s="88">
        <f t="shared" si="54"/>
        <v>1.7565817755757451</v>
      </c>
      <c r="O55" s="88">
        <f t="shared" si="54"/>
        <v>4.8812964597549469</v>
      </c>
      <c r="P55" s="88">
        <f t="shared" si="54"/>
        <v>13.705919419268819</v>
      </c>
      <c r="Q55" s="88">
        <f t="shared" si="54"/>
        <v>11.715150039752899</v>
      </c>
      <c r="R55" s="88">
        <f t="shared" si="54"/>
        <v>13.068957854442283</v>
      </c>
      <c r="S55" s="88"/>
      <c r="T55" s="88"/>
    </row>
    <row r="56" spans="2:21" ht="15.6" x14ac:dyDescent="0.3">
      <c r="B56" s="35"/>
      <c r="C56" s="35"/>
      <c r="D56" s="35"/>
      <c r="E56" s="91"/>
      <c r="F56" s="91"/>
      <c r="G56" s="35"/>
      <c r="H56" s="35"/>
      <c r="I56" s="35"/>
      <c r="J56" s="35"/>
      <c r="K56" s="2"/>
      <c r="L56" s="81" t="s">
        <v>67</v>
      </c>
      <c r="M56" s="84">
        <f t="shared" ref="M56:T56" si="55">C54/C14</f>
        <v>13.447903529377635</v>
      </c>
      <c r="N56" s="84">
        <f t="shared" si="55"/>
        <v>10.065525134975632</v>
      </c>
      <c r="O56" s="84">
        <f t="shared" si="55"/>
        <v>17.891444074575507</v>
      </c>
      <c r="P56" s="84">
        <f t="shared" si="55"/>
        <v>25.308492519178781</v>
      </c>
      <c r="Q56" s="84">
        <f t="shared" si="55"/>
        <v>19.774263431803092</v>
      </c>
      <c r="R56" s="84">
        <f t="shared" si="55"/>
        <v>27.804998782329481</v>
      </c>
      <c r="S56" s="84">
        <f t="shared" si="55"/>
        <v>36.66410238591417</v>
      </c>
      <c r="T56" s="84">
        <f t="shared" si="55"/>
        <v>42.154658999250252</v>
      </c>
    </row>
    <row r="57" spans="2:21" ht="15.6" x14ac:dyDescent="0.3">
      <c r="B57" s="35"/>
      <c r="C57" s="35"/>
      <c r="D57" s="35"/>
      <c r="E57" s="35"/>
      <c r="F57" s="35"/>
      <c r="G57" s="35"/>
      <c r="H57" s="35"/>
      <c r="I57" s="35"/>
      <c r="J57" s="35"/>
      <c r="K57" s="2"/>
      <c r="L57" s="81" t="s">
        <v>69</v>
      </c>
      <c r="M57" s="90">
        <f t="shared" ref="M57:T57" si="56">C25/M8</f>
        <v>-5.1061451975740788E-2</v>
      </c>
      <c r="N57" s="90">
        <f t="shared" si="56"/>
        <v>8.2347386081650389E-2</v>
      </c>
      <c r="O57" s="90">
        <f t="shared" si="56"/>
        <v>7.7222093655985605E-2</v>
      </c>
      <c r="P57" s="90">
        <f t="shared" si="56"/>
        <v>0.34203575955019822</v>
      </c>
      <c r="Q57" s="90">
        <f t="shared" si="56"/>
        <v>0.39085851989525455</v>
      </c>
      <c r="R57" s="90">
        <f t="shared" si="56"/>
        <v>0.28250989388526143</v>
      </c>
      <c r="S57" s="90">
        <f t="shared" si="56"/>
        <v>2.1506478953287406E-2</v>
      </c>
      <c r="T57" s="90">
        <f t="shared" si="56"/>
        <v>-5.797685708721826E-2</v>
      </c>
    </row>
    <row r="58" spans="2:21" ht="15.6" x14ac:dyDescent="0.3">
      <c r="B58" s="35"/>
      <c r="C58" s="35"/>
      <c r="D58" s="35"/>
      <c r="E58" s="35"/>
      <c r="F58" s="35"/>
      <c r="G58" s="35"/>
      <c r="H58" s="35"/>
      <c r="I58" s="35"/>
      <c r="J58" s="35"/>
      <c r="K58" s="2"/>
      <c r="L58" s="81" t="s">
        <v>71</v>
      </c>
      <c r="M58" s="90">
        <f t="shared" ref="M58:T58" si="57">(C14-C19)/M12</f>
        <v>6.3540134579661248E-2</v>
      </c>
      <c r="N58" s="90">
        <f t="shared" si="57"/>
        <v>9.1687579401107402E-2</v>
      </c>
      <c r="O58" s="90">
        <f t="shared" si="57"/>
        <v>9.6643697793257669E-2</v>
      </c>
      <c r="P58" s="90">
        <f t="shared" si="57"/>
        <v>0.26614066991993623</v>
      </c>
      <c r="Q58" s="90">
        <f t="shared" si="57"/>
        <v>0.30212093366201515</v>
      </c>
      <c r="R58" s="90">
        <f t="shared" si="57"/>
        <v>0.21392423801622945</v>
      </c>
      <c r="S58" s="90">
        <f t="shared" si="57"/>
        <v>5.338639970557469E-2</v>
      </c>
      <c r="T58" s="90">
        <f t="shared" si="57"/>
        <v>3.3726439659240021E-3</v>
      </c>
    </row>
    <row r="59" spans="2:21" ht="15.6" x14ac:dyDescent="0.3">
      <c r="B59" s="35"/>
      <c r="C59" s="35"/>
      <c r="D59" s="35"/>
      <c r="E59" s="35"/>
      <c r="F59" s="35"/>
      <c r="G59" s="35"/>
      <c r="H59" s="35"/>
      <c r="I59" s="35"/>
      <c r="J59" s="35"/>
      <c r="K59" s="2"/>
      <c r="L59" s="81" t="s">
        <v>73</v>
      </c>
      <c r="M59" s="92">
        <f t="shared" ref="M59:T59" si="58">M11/M8</f>
        <v>1.6279328001805398</v>
      </c>
      <c r="N59" s="92">
        <f t="shared" si="58"/>
        <v>1.7369203618060836</v>
      </c>
      <c r="O59" s="92">
        <f t="shared" si="58"/>
        <v>1.9058749210360078</v>
      </c>
      <c r="P59" s="92">
        <f t="shared" si="58"/>
        <v>0.90637360394001532</v>
      </c>
      <c r="Q59" s="92">
        <f t="shared" si="58"/>
        <v>1.1321106129209235</v>
      </c>
      <c r="R59" s="92">
        <f t="shared" si="58"/>
        <v>1.3119121550028214</v>
      </c>
      <c r="S59" s="92">
        <f t="shared" si="58"/>
        <v>1.2605260371217819</v>
      </c>
      <c r="T59" s="92">
        <f t="shared" si="58"/>
        <v>1.3772896075544152</v>
      </c>
    </row>
    <row r="60" spans="2:21" ht="15.6" x14ac:dyDescent="0.3">
      <c r="B60" s="35"/>
      <c r="C60" s="35"/>
      <c r="D60" s="35"/>
      <c r="E60" s="35"/>
      <c r="F60" s="35"/>
      <c r="G60" s="35"/>
      <c r="H60" s="35"/>
      <c r="I60" s="35"/>
      <c r="J60" s="35"/>
      <c r="K60" s="2"/>
      <c r="L60" s="81" t="s">
        <v>74</v>
      </c>
      <c r="M60" s="92">
        <f t="shared" ref="M60:T60" si="59">(M11-M29)/M8</f>
        <v>1.6071681016569572</v>
      </c>
      <c r="N60" s="92">
        <f t="shared" si="59"/>
        <v>1.7271652607220718</v>
      </c>
      <c r="O60" s="92">
        <f t="shared" si="59"/>
        <v>1.8966337884578097</v>
      </c>
      <c r="P60" s="92">
        <f t="shared" si="59"/>
        <v>0.90023434243767186</v>
      </c>
      <c r="Q60" s="92">
        <f t="shared" si="59"/>
        <v>1.1097439342786699</v>
      </c>
      <c r="R60" s="92">
        <f t="shared" si="59"/>
        <v>1.3041222450627232</v>
      </c>
      <c r="S60" s="92">
        <f t="shared" si="59"/>
        <v>1.2511671766990917</v>
      </c>
      <c r="T60" s="92">
        <f t="shared" si="59"/>
        <v>1.3745222973457736</v>
      </c>
    </row>
    <row r="61" spans="2:21" ht="15.6" x14ac:dyDescent="0.3">
      <c r="B61" s="35"/>
      <c r="C61" s="35"/>
      <c r="D61" s="35"/>
      <c r="E61" s="35"/>
      <c r="F61" s="35"/>
      <c r="G61" s="35"/>
      <c r="H61" s="35"/>
      <c r="I61" s="35"/>
      <c r="J61" s="35"/>
      <c r="K61" s="2"/>
      <c r="L61" s="83" t="s">
        <v>75</v>
      </c>
      <c r="M61" s="93">
        <f t="shared" ref="M61:P61" si="60">M53/M50</f>
        <v>0</v>
      </c>
      <c r="N61" s="93">
        <f t="shared" si="60"/>
        <v>6.7476383265856954E-3</v>
      </c>
      <c r="O61" s="93">
        <f t="shared" si="60"/>
        <v>2.2675736961451248E-3</v>
      </c>
      <c r="P61" s="93">
        <f t="shared" si="60"/>
        <v>3.2948929159802307E-3</v>
      </c>
      <c r="Q61" s="93">
        <f t="shared" ref="Q61:R61" si="61">Q53/Q50</f>
        <v>3.1347962382445144E-3</v>
      </c>
      <c r="R61" s="93">
        <f t="shared" si="61"/>
        <v>9.9725754176015961E-4</v>
      </c>
      <c r="S61" s="93">
        <f t="shared" ref="S61:T61" si="62">S53/S50</f>
        <v>3.2066698733365403E-3</v>
      </c>
      <c r="T61" s="93">
        <f t="shared" si="62"/>
        <v>5.2342318764721282E-3</v>
      </c>
    </row>
    <row r="62" spans="2:21" ht="15.6" x14ac:dyDescent="0.3">
      <c r="B62" s="35"/>
      <c r="C62" s="35"/>
      <c r="D62" s="35"/>
      <c r="E62" s="35"/>
      <c r="F62" s="35"/>
      <c r="G62" s="35"/>
      <c r="H62" s="35"/>
      <c r="I62" s="35"/>
      <c r="J62" s="35"/>
      <c r="K62" s="2"/>
      <c r="L62" s="81" t="s">
        <v>76</v>
      </c>
      <c r="M62" s="94" t="s">
        <v>106</v>
      </c>
      <c r="N62" s="95">
        <f t="shared" ref="N62:T62" si="63">(AVERAGE(M28:N28)/D5*365)</f>
        <v>75.717124104107853</v>
      </c>
      <c r="O62" s="95">
        <f t="shared" si="63"/>
        <v>85.692239781825819</v>
      </c>
      <c r="P62" s="95">
        <f t="shared" si="63"/>
        <v>52.218129827408902</v>
      </c>
      <c r="Q62" s="95">
        <f t="shared" si="63"/>
        <v>52.314889451146165</v>
      </c>
      <c r="R62" s="95">
        <f t="shared" si="63"/>
        <v>62.498675074921472</v>
      </c>
      <c r="S62" s="95">
        <f t="shared" si="63"/>
        <v>95.154697791484679</v>
      </c>
      <c r="T62" s="95">
        <f>(AVERAGE(S28:T28)/J5*365)</f>
        <v>84.786658353806757</v>
      </c>
    </row>
    <row r="63" spans="2:21" ht="15.6" x14ac:dyDescent="0.3">
      <c r="B63" s="35"/>
      <c r="C63" s="35"/>
      <c r="D63" s="35"/>
      <c r="E63" s="35"/>
      <c r="F63" s="35"/>
      <c r="G63" s="35"/>
      <c r="H63" s="35"/>
      <c r="I63" s="35"/>
      <c r="J63" s="35"/>
      <c r="K63" s="2"/>
      <c r="L63" s="96" t="s">
        <v>77</v>
      </c>
      <c r="M63" s="94" t="s">
        <v>106</v>
      </c>
      <c r="N63" s="95">
        <f t="shared" ref="N63:T63" si="64">(AVERAGE(M35:N35)/D8*365)</f>
        <v>55.145321650515861</v>
      </c>
      <c r="O63" s="95">
        <f t="shared" si="64"/>
        <v>66.668866270334405</v>
      </c>
      <c r="P63" s="95">
        <f t="shared" si="64"/>
        <v>39.551074052564751</v>
      </c>
      <c r="Q63" s="95">
        <f t="shared" si="64"/>
        <v>41.465186084826939</v>
      </c>
      <c r="R63" s="95">
        <f t="shared" si="64"/>
        <v>40.677415819831182</v>
      </c>
      <c r="S63" s="95">
        <f t="shared" si="64"/>
        <v>49.543679865673624</v>
      </c>
      <c r="T63" s="95">
        <f>(AVERAGE(S35:T35)/(J9+J11+J10)*365)</f>
        <v>86.462992324415865</v>
      </c>
    </row>
    <row r="64" spans="2:21" ht="15.6" x14ac:dyDescent="0.3">
      <c r="B64" s="35"/>
      <c r="C64" s="35"/>
      <c r="D64" s="35"/>
      <c r="E64" s="35"/>
      <c r="F64" s="35"/>
      <c r="G64" s="35"/>
      <c r="H64" s="35"/>
      <c r="I64" s="35"/>
      <c r="J64" s="35"/>
      <c r="K64" s="2"/>
      <c r="L64" s="96" t="s">
        <v>78</v>
      </c>
      <c r="M64" s="94" t="s">
        <v>106</v>
      </c>
      <c r="N64" s="95">
        <f t="shared" ref="N64:T64" si="65">(AVERAGE(M26:N26)/D8*365)</f>
        <v>24.164334713296508</v>
      </c>
      <c r="O64" s="95">
        <f t="shared" si="65"/>
        <v>31.387090436181957</v>
      </c>
      <c r="P64" s="95">
        <f t="shared" si="65"/>
        <v>18.554774654925581</v>
      </c>
      <c r="Q64" s="95">
        <f t="shared" si="65"/>
        <v>21.047558675530929</v>
      </c>
      <c r="R64" s="95">
        <f t="shared" si="65"/>
        <v>26.462300006949302</v>
      </c>
      <c r="S64" s="95">
        <f t="shared" si="65"/>
        <v>34.734943790218367</v>
      </c>
      <c r="T64" s="95">
        <f>(AVERAGE(S26:T26)/(J9+J10+J11)*365)</f>
        <v>63.521312464845245</v>
      </c>
      <c r="U64" s="95"/>
    </row>
    <row r="65" spans="2:20" ht="15.6" x14ac:dyDescent="0.3">
      <c r="B65" s="35"/>
      <c r="C65" s="35"/>
      <c r="D65" s="35"/>
      <c r="E65" s="35"/>
      <c r="F65" s="35"/>
      <c r="G65" s="35"/>
      <c r="H65" s="35"/>
      <c r="I65" s="35"/>
      <c r="J65" s="35"/>
      <c r="K65" s="2"/>
      <c r="L65" s="96" t="s">
        <v>79</v>
      </c>
      <c r="M65" s="94" t="s">
        <v>106</v>
      </c>
      <c r="N65" s="95">
        <f>(N62+N64-N63)</f>
        <v>44.736137166888504</v>
      </c>
      <c r="O65" s="95">
        <f t="shared" ref="O65:R65" si="66">(O62+O64-O63)</f>
        <v>50.410463947673378</v>
      </c>
      <c r="P65" s="95">
        <f t="shared" si="66"/>
        <v>31.221830429769732</v>
      </c>
      <c r="Q65" s="95">
        <f t="shared" si="66"/>
        <v>31.897262041850155</v>
      </c>
      <c r="R65" s="95">
        <f t="shared" si="66"/>
        <v>48.283559262039589</v>
      </c>
      <c r="S65" s="95">
        <f t="shared" ref="S65:T65" si="67">(S62+S64-S63)</f>
        <v>80.345961716029421</v>
      </c>
      <c r="T65" s="95">
        <f>T64+T62-T63</f>
        <v>61.84497849423613</v>
      </c>
    </row>
    <row r="66" spans="2:20" ht="15.6" x14ac:dyDescent="0.3">
      <c r="B66" s="35"/>
      <c r="C66" s="35"/>
      <c r="D66" s="35"/>
      <c r="E66" s="35"/>
      <c r="F66" s="35"/>
      <c r="G66" s="35"/>
      <c r="H66" s="35"/>
      <c r="I66" s="35"/>
      <c r="J66" s="35"/>
      <c r="K66" s="2"/>
      <c r="L66" s="97" t="s">
        <v>102</v>
      </c>
      <c r="M66" s="94" t="s">
        <v>106</v>
      </c>
      <c r="N66" s="95">
        <f t="shared" ref="N66:T66" si="68">((AVERAGE(M40,N40))/D5)*365</f>
        <v>-36.887481697030616</v>
      </c>
      <c r="O66" s="95">
        <f t="shared" si="68"/>
        <v>-14.111882743027648</v>
      </c>
      <c r="P66" s="95">
        <f t="shared" si="68"/>
        <v>9.1786699150912447</v>
      </c>
      <c r="Q66" s="95">
        <f t="shared" si="68"/>
        <v>21.45034684100084</v>
      </c>
      <c r="R66" s="95">
        <f t="shared" si="68"/>
        <v>24.755097518186098</v>
      </c>
      <c r="S66" s="95">
        <f t="shared" si="68"/>
        <v>31.862246237974066</v>
      </c>
      <c r="T66" s="95">
        <f t="shared" si="68"/>
        <v>15.98000185592713</v>
      </c>
    </row>
    <row r="67" spans="2:20" ht="15.6" x14ac:dyDescent="0.3">
      <c r="B67" s="35"/>
      <c r="C67" s="35"/>
      <c r="D67" s="35"/>
      <c r="E67" s="35"/>
      <c r="F67" s="35"/>
      <c r="G67" s="35"/>
      <c r="H67" s="35"/>
      <c r="I67" s="35"/>
      <c r="J67" s="35"/>
      <c r="K67" s="2"/>
      <c r="L67" s="81" t="s">
        <v>80</v>
      </c>
      <c r="M67" s="98">
        <f>C5/(AVERAGE(M16:M16))</f>
        <v>1.6984034049832502</v>
      </c>
      <c r="N67" s="98">
        <f t="shared" ref="N67:T67" si="69">D5/(AVERAGE(M16:N16))</f>
        <v>1.9586900317895819</v>
      </c>
      <c r="O67" s="98">
        <f t="shared" si="69"/>
        <v>1.612171658336778</v>
      </c>
      <c r="P67" s="98">
        <f t="shared" si="69"/>
        <v>2.6949817282492341</v>
      </c>
      <c r="Q67" s="98">
        <f t="shared" si="69"/>
        <v>2.7548631971959345</v>
      </c>
      <c r="R67" s="98">
        <f t="shared" si="69"/>
        <v>1.9686333199242727</v>
      </c>
      <c r="S67" s="98">
        <f t="shared" si="69"/>
        <v>1.1415747855033362</v>
      </c>
      <c r="T67" s="98">
        <f t="shared" si="69"/>
        <v>1.2269457107747908</v>
      </c>
    </row>
    <row r="68" spans="2:20" ht="15.6" x14ac:dyDescent="0.3">
      <c r="B68" s="35"/>
      <c r="C68" s="35"/>
      <c r="D68" s="35"/>
      <c r="E68" s="35"/>
      <c r="F68" s="35"/>
      <c r="G68" s="35"/>
      <c r="H68" s="35"/>
      <c r="I68" s="35"/>
      <c r="J68" s="35"/>
      <c r="K68" s="2"/>
      <c r="L68" s="81" t="s">
        <v>81</v>
      </c>
      <c r="M68" s="99">
        <f t="shared" ref="M68:T68" si="70">C20/M11</f>
        <v>9.7300853694892261E-2</v>
      </c>
      <c r="N68" s="99">
        <f t="shared" si="70"/>
        <v>8.5528865341346169E-2</v>
      </c>
      <c r="O68" s="99">
        <f t="shared" si="70"/>
        <v>7.2644453706225784E-2</v>
      </c>
      <c r="P68" s="99">
        <f t="shared" si="70"/>
        <v>8.7606516761139674E-2</v>
      </c>
      <c r="Q68" s="99">
        <f t="shared" si="70"/>
        <v>4.7636996031491449E-2</v>
      </c>
      <c r="R68" s="99">
        <f t="shared" si="70"/>
        <v>6.2048979019016216E-2</v>
      </c>
      <c r="S68" s="99">
        <f t="shared" si="70"/>
        <v>7.7470925672977684E-2</v>
      </c>
      <c r="T68" s="99">
        <f t="shared" si="70"/>
        <v>7.4858459957017079E-2</v>
      </c>
    </row>
    <row r="69" spans="2:20" ht="15.6" x14ac:dyDescent="0.3">
      <c r="L69" s="96" t="s">
        <v>82</v>
      </c>
      <c r="M69" s="88">
        <f t="shared" ref="M69:T69" si="71">C14/C20</f>
        <v>1.5888492109204022</v>
      </c>
      <c r="N69" s="88">
        <f t="shared" si="71"/>
        <v>2.3297941885890729</v>
      </c>
      <c r="O69" s="88">
        <f t="shared" si="71"/>
        <v>2.7362441272135865</v>
      </c>
      <c r="P69" s="88">
        <f t="shared" si="71"/>
        <v>7.2681842528119915</v>
      </c>
      <c r="Q69" s="88">
        <f t="shared" si="71"/>
        <v>12.025973401313097</v>
      </c>
      <c r="R69" s="88">
        <f t="shared" si="71"/>
        <v>6.3502024291497987</v>
      </c>
      <c r="S69" s="88">
        <f t="shared" si="71"/>
        <v>2.0023471922913259</v>
      </c>
      <c r="T69" s="88">
        <f t="shared" si="71"/>
        <v>1.1667229987209295</v>
      </c>
    </row>
    <row r="70" spans="2:20" ht="16.2" thickBot="1" x14ac:dyDescent="0.35">
      <c r="K70" s="127"/>
      <c r="L70" s="100" t="s">
        <v>83</v>
      </c>
      <c r="M70" s="101">
        <f t="shared" ref="M70:T70" si="72">M68*(1-C24)</f>
        <v>0.14853082532172543</v>
      </c>
      <c r="N70" s="101">
        <f t="shared" si="72"/>
        <v>0.14451692425917065</v>
      </c>
      <c r="O70" s="101">
        <f t="shared" si="72"/>
        <v>6.700319346211836E-2</v>
      </c>
      <c r="P70" s="101">
        <f t="shared" si="72"/>
        <v>7.7895867057016746E-2</v>
      </c>
      <c r="Q70" s="101">
        <f t="shared" si="72"/>
        <v>3.5361845206783225E-2</v>
      </c>
      <c r="R70" s="101">
        <f t="shared" si="72"/>
        <v>4.6316985009904103E-2</v>
      </c>
      <c r="S70" s="101">
        <f t="shared" si="72"/>
        <v>5.4490476829603673E-2</v>
      </c>
      <c r="T70" s="101">
        <f t="shared" si="72"/>
        <v>7.150364543180758E-2</v>
      </c>
    </row>
  </sheetData>
  <mergeCells count="4">
    <mergeCell ref="B3:H3"/>
    <mergeCell ref="L48:S48"/>
    <mergeCell ref="L3:S3"/>
    <mergeCell ref="B2:S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ignoredErrors>
    <ignoredError sqref="N62 N63:N66 O62:Q67 S33 R62:T67" formulaRange="1"/>
    <ignoredError sqref="N67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2024-05-09T11:00:47Z</cp:lastPrinted>
  <dcterms:created xsi:type="dcterms:W3CDTF">2022-10-27T15:35:03Z</dcterms:created>
  <dcterms:modified xsi:type="dcterms:W3CDTF">2026-06-03T08:56:35Z</dcterms:modified>
</cp:coreProperties>
</file>