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Q4-FY26\gre renew enertech ltd\"/>
    </mc:Choice>
  </mc:AlternateContent>
  <xr:revisionPtr revIDLastSave="0" documentId="13_ncr:1_{8AB51569-F523-4E05-B3AA-15C4E847A4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5" r:id="rId1"/>
    <sheet name="peer sheet" sheetId="2" state="hidden" r:id="rId2"/>
  </sheets>
  <definedNames>
    <definedName name="_xlnm.Print_Area" localSheetId="0">'Summary Sheet'!#REF!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5" l="1"/>
  <c r="L39" i="5"/>
  <c r="L15" i="5"/>
  <c r="F46" i="5"/>
  <c r="L77" i="5"/>
  <c r="J11" i="5"/>
  <c r="J77" i="5" s="1"/>
  <c r="K11" i="5"/>
  <c r="K77" i="5" s="1"/>
  <c r="L11" i="5"/>
  <c r="I11" i="5"/>
  <c r="C53" i="5"/>
  <c r="C54" i="5"/>
  <c r="I70" i="5" s="1"/>
  <c r="F52" i="5"/>
  <c r="J79" i="5"/>
  <c r="I79" i="5"/>
  <c r="J78" i="5"/>
  <c r="L78" i="5"/>
  <c r="I78" i="5"/>
  <c r="I77" i="5"/>
  <c r="I76" i="5"/>
  <c r="I75" i="5"/>
  <c r="I72" i="5"/>
  <c r="I73" i="5"/>
  <c r="I74" i="5"/>
  <c r="K73" i="5"/>
  <c r="L73" i="5"/>
  <c r="J73" i="5"/>
  <c r="L72" i="5"/>
  <c r="K72" i="5"/>
  <c r="J72" i="5"/>
  <c r="I69" i="5"/>
  <c r="I68" i="5"/>
  <c r="J68" i="5"/>
  <c r="I67" i="5"/>
  <c r="J67" i="5"/>
  <c r="J61" i="5"/>
  <c r="I61" i="5"/>
  <c r="K28" i="5"/>
  <c r="J15" i="5"/>
  <c r="D22" i="5"/>
  <c r="D8" i="5"/>
  <c r="D14" i="5" s="1"/>
  <c r="F36" i="5"/>
  <c r="C8" i="5"/>
  <c r="C14" i="5"/>
  <c r="L43" i="5"/>
  <c r="F54" i="5"/>
  <c r="E54" i="5"/>
  <c r="D54" i="5"/>
  <c r="E52" i="5"/>
  <c r="E47" i="5"/>
  <c r="D47" i="5"/>
  <c r="C47" i="5"/>
  <c r="D46" i="5"/>
  <c r="E46" i="5"/>
  <c r="C46" i="5"/>
  <c r="C48" i="5" s="1"/>
  <c r="L69" i="5" l="1"/>
  <c r="L70" i="5"/>
  <c r="J69" i="5"/>
  <c r="J70" i="5"/>
  <c r="F43" i="5"/>
  <c r="E43" i="5"/>
  <c r="D43" i="5"/>
  <c r="C43" i="5"/>
  <c r="C44" i="5" l="1"/>
  <c r="D39" i="5" s="1"/>
  <c r="D44" i="5" s="1"/>
  <c r="E39" i="5" s="1"/>
  <c r="E44" i="5" l="1"/>
  <c r="F39" i="5" s="1"/>
  <c r="F44" i="5" s="1"/>
  <c r="F22" i="5"/>
  <c r="D53" i="5" l="1"/>
  <c r="K43" i="5"/>
  <c r="J43" i="5"/>
  <c r="I43" i="5"/>
  <c r="I39" i="5" s="1"/>
  <c r="C22" i="5"/>
  <c r="C17" i="5"/>
  <c r="C21" i="5" l="1"/>
  <c r="L74" i="5"/>
  <c r="L61" i="5"/>
  <c r="F7" i="5"/>
  <c r="F6" i="5"/>
  <c r="C23" i="5" l="1"/>
  <c r="C24" i="5"/>
  <c r="L64" i="5"/>
  <c r="K74" i="5"/>
  <c r="J74" i="5"/>
  <c r="J39" i="5"/>
  <c r="K39" i="5"/>
  <c r="I50" i="5"/>
  <c r="K61" i="5"/>
  <c r="K64" i="5" s="1"/>
  <c r="L50" i="5"/>
  <c r="K50" i="5"/>
  <c r="J50" i="5"/>
  <c r="F48" i="5"/>
  <c r="E48" i="5"/>
  <c r="D48" i="5"/>
  <c r="F35" i="5"/>
  <c r="E35" i="5"/>
  <c r="D35" i="5"/>
  <c r="L28" i="5"/>
  <c r="J28" i="5"/>
  <c r="I28" i="5"/>
  <c r="I48" i="5" s="1"/>
  <c r="K15" i="5"/>
  <c r="K56" i="5" s="1"/>
  <c r="I15" i="5"/>
  <c r="F8" i="5"/>
  <c r="F14" i="5" s="1"/>
  <c r="E8" i="5"/>
  <c r="E14" i="5" s="1"/>
  <c r="E21" i="5" s="1"/>
  <c r="L7" i="5"/>
  <c r="L62" i="5" s="1"/>
  <c r="L65" i="5" s="1"/>
  <c r="K7" i="5"/>
  <c r="J7" i="5"/>
  <c r="I7" i="5"/>
  <c r="E6" i="5"/>
  <c r="D6" i="5"/>
  <c r="K62" i="5" l="1"/>
  <c r="K65" i="5" s="1"/>
  <c r="L67" i="5"/>
  <c r="K69" i="5"/>
  <c r="K57" i="5"/>
  <c r="K70" i="5"/>
  <c r="K78" i="5"/>
  <c r="E53" i="5"/>
  <c r="F53" i="5"/>
  <c r="F55" i="5" s="1"/>
  <c r="K66" i="5"/>
  <c r="C25" i="5"/>
  <c r="C29" i="5"/>
  <c r="L57" i="5"/>
  <c r="L48" i="5"/>
  <c r="J48" i="5"/>
  <c r="I56" i="5"/>
  <c r="I57" i="5"/>
  <c r="J57" i="5"/>
  <c r="K48" i="5"/>
  <c r="K75" i="5"/>
  <c r="L75" i="5"/>
  <c r="J75" i="5"/>
  <c r="J12" i="5"/>
  <c r="L12" i="5"/>
  <c r="K12" i="5"/>
  <c r="I12" i="5"/>
  <c r="J56" i="5"/>
  <c r="L56" i="5"/>
  <c r="L13" i="5" s="1"/>
  <c r="E17" i="5"/>
  <c r="E15" i="5"/>
  <c r="D21" i="5"/>
  <c r="D17" i="5"/>
  <c r="D15" i="5"/>
  <c r="L66" i="5" l="1"/>
  <c r="K76" i="5"/>
  <c r="L76" i="5"/>
  <c r="F21" i="5"/>
  <c r="K13" i="5"/>
  <c r="K68" i="5" s="1"/>
  <c r="L79" i="5"/>
  <c r="J13" i="5"/>
  <c r="K79" i="5"/>
  <c r="J76" i="5"/>
  <c r="F15" i="5"/>
  <c r="F17" i="5"/>
  <c r="F16" i="5"/>
  <c r="I13" i="5"/>
  <c r="D24" i="5"/>
  <c r="D23" i="5"/>
  <c r="E24" i="5"/>
  <c r="K67" i="5" s="1"/>
  <c r="E23" i="5"/>
  <c r="L68" i="5" l="1"/>
  <c r="E29" i="5"/>
  <c r="D29" i="5"/>
  <c r="D25" i="5"/>
  <c r="E25" i="5"/>
  <c r="F23" i="5"/>
  <c r="F24" i="5"/>
  <c r="E30" i="5" l="1"/>
  <c r="F29" i="5"/>
  <c r="F25" i="5"/>
  <c r="F26" i="5"/>
  <c r="D30" i="5"/>
  <c r="F31" i="5" l="1"/>
  <c r="F30" i="5"/>
  <c r="F42" i="2" l="1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G56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H48" i="2"/>
  <c r="H45" i="2" s="1"/>
  <c r="I48" i="2"/>
  <c r="I45" i="2" s="1"/>
  <c r="E49" i="2"/>
  <c r="F50" i="2"/>
  <c r="G50" i="2"/>
  <c r="H50" i="2"/>
  <c r="I50" i="2"/>
  <c r="F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D26" i="2" s="1"/>
  <c r="E25" i="2"/>
  <c r="E26" i="2" s="1"/>
  <c r="G45" i="2" l="1"/>
  <c r="D21" i="2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38" i="2" s="1"/>
  <c r="D44" i="2"/>
  <c r="E20" i="2"/>
  <c r="E54" i="2" s="1"/>
  <c r="D20" i="2"/>
  <c r="D54" i="2" s="1"/>
  <c r="E14" i="2"/>
  <c r="E44" i="2"/>
  <c r="E42" i="2"/>
  <c r="E43" i="2" s="1"/>
  <c r="E37" i="2" s="1"/>
  <c r="E48" i="2"/>
  <c r="E7" i="2"/>
  <c r="E50" i="2"/>
  <c r="D15" i="2"/>
  <c r="D48" i="2"/>
  <c r="E10" i="2"/>
  <c r="E46" i="2"/>
  <c r="E11" i="2"/>
  <c r="E15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E55" i="2" l="1"/>
  <c r="D11" i="2"/>
  <c r="D46" i="2"/>
  <c r="E59" i="2"/>
  <c r="D59" i="2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</calcChain>
</file>

<file path=xl/sharedStrings.xml><?xml version="1.0" encoding="utf-8"?>
<sst xmlns="http://schemas.openxmlformats.org/spreadsheetml/2006/main" count="256" uniqueCount="169">
  <si>
    <t>Income</t>
  </si>
  <si>
    <t>Growth (%)</t>
  </si>
  <si>
    <t>CAGR (%) - 3 Years</t>
  </si>
  <si>
    <t>Expenditure</t>
  </si>
  <si>
    <t>EBITDA</t>
  </si>
  <si>
    <t>EBITDA margin (%)</t>
  </si>
  <si>
    <t>Depreciation</t>
  </si>
  <si>
    <t>PBT</t>
  </si>
  <si>
    <t>Tax</t>
  </si>
  <si>
    <t>Effective tax rate (%)</t>
  </si>
  <si>
    <t>PAT</t>
  </si>
  <si>
    <t>PAT margin (%)</t>
  </si>
  <si>
    <t>Minority Interest</t>
  </si>
  <si>
    <t>Other Comprehensive Income</t>
  </si>
  <si>
    <t>EPS</t>
  </si>
  <si>
    <t>FY21</t>
  </si>
  <si>
    <t>Consolidated Income Statement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</si>
  <si>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</si>
  <si>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</si>
  <si>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</si>
  <si>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</si>
  <si>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</si>
  <si>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</si>
  <si>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</si>
  <si>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</si>
  <si>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</si>
  <si>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CURRENT ASSETS, LOANS &amp; ADVANCES</t>
  </si>
  <si>
    <t>Inventories</t>
  </si>
  <si>
    <t>Other Current Assets</t>
  </si>
  <si>
    <t>CURRENT LIABILITIES &amp; PROVISIONS</t>
  </si>
  <si>
    <t>NET CURRENT ASSETS</t>
  </si>
  <si>
    <t>TOTAL ASSETS</t>
  </si>
  <si>
    <t>TOTAL LIABILITIES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</si>
  <si>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</si>
  <si>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</si>
  <si>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</si>
  <si>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</si>
  <si>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</si>
  <si>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</si>
  <si>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</si>
  <si>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</si>
  <si>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</si>
  <si>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</si>
  <si>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</si>
  <si>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</si>
  <si>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</si>
  <si>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</si>
  <si>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</si>
  <si>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</si>
  <si>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</si>
  <si>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</si>
  <si>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</si>
  <si>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</si>
  <si>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</si>
  <si>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</si>
  <si>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</si>
  <si>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</si>
  <si>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</si>
  <si>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</si>
  <si>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</si>
  <si>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</si>
  <si>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</si>
  <si>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</si>
  <si>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</si>
  <si>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</si>
  <si>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</si>
  <si>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Capital Work-in-progress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</si>
  <si>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</si>
  <si>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</si>
  <si>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</si>
  <si>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</si>
  <si>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</si>
  <si>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</si>
  <si>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</si>
  <si>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</si>
  <si>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</si>
  <si>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</si>
  <si>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</si>
  <si>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</si>
  <si>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</si>
  <si>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</si>
  <si>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</si>
  <si>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</si>
  <si>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</si>
  <si>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</si>
  <si>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</si>
  <si>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</si>
  <si>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</si>
  <si>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</si>
  <si>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</si>
  <si>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</si>
  <si>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</si>
  <si>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</si>
  <si>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</si>
  <si>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</si>
  <si>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</si>
  <si>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</si>
  <si>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</si>
  <si>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</si>
  <si>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</si>
  <si>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</si>
  <si>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</si>
  <si>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</si>
  <si>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</si>
  <si>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</si>
  <si>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</si>
  <si>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</si>
  <si>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</si>
  <si>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</si>
  <si>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</si>
  <si>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</si>
  <si>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</si>
  <si>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</si>
  <si>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</si>
  <si>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</si>
  <si>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</si>
  <si>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</si>
  <si>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</si>
  <si>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>NA</t>
  </si>
  <si>
    <t>NON CURRENT LIABILITIES</t>
  </si>
  <si>
    <t>FY23</t>
  </si>
  <si>
    <t>Market Cap (Rs. Mn)</t>
  </si>
  <si>
    <t>FY24</t>
  </si>
  <si>
    <t>FY25</t>
  </si>
  <si>
    <t>Cost of material consumed</t>
  </si>
  <si>
    <t>Employee benefit expense</t>
  </si>
  <si>
    <t>Other income</t>
  </si>
  <si>
    <t>Depreciation and amortisation expense</t>
  </si>
  <si>
    <t>Finance costs</t>
  </si>
  <si>
    <t>Basic</t>
  </si>
  <si>
    <t>Diluted</t>
  </si>
  <si>
    <t>Reserves and Surplus</t>
  </si>
  <si>
    <t>(iii) Other financial assets</t>
  </si>
  <si>
    <t>Right-of-use assets</t>
  </si>
  <si>
    <t xml:space="preserve">Intangible assets </t>
  </si>
  <si>
    <t>Intangible assets under development</t>
  </si>
  <si>
    <t>(i) Invetsments</t>
  </si>
  <si>
    <t>(ii) Loans</t>
  </si>
  <si>
    <t>Other non-current assets</t>
  </si>
  <si>
    <t>Financial Liabilities</t>
  </si>
  <si>
    <t xml:space="preserve">(i) Borrowings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</si>
  <si>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</si>
  <si>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</si>
  <si>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</si>
  <si>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</si>
  <si>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</si>
  <si>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</si>
  <si>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March Year Ended (INR Mn)</t>
  </si>
  <si>
    <t>Cash Flow Statement (INR Mn)</t>
  </si>
  <si>
    <t>Ratios</t>
  </si>
  <si>
    <t>INR Mn</t>
  </si>
  <si>
    <t>Purchase of traded goods</t>
  </si>
  <si>
    <t>Changes in inventories of finished goods and stock- in-progress</t>
  </si>
  <si>
    <t>Other expenses</t>
  </si>
  <si>
    <t>Equity Share Capital</t>
  </si>
  <si>
    <t>Current tax assets (net)</t>
  </si>
  <si>
    <t>(iii) Trade payables</t>
  </si>
  <si>
    <t>Current tax liabilities (net)</t>
  </si>
  <si>
    <t>Deferred tax liabilities (net)</t>
  </si>
  <si>
    <t>(i) Trade Receivable</t>
  </si>
  <si>
    <t>(ii) Cash and cash equivalents</t>
  </si>
  <si>
    <t>(iii) Other bank balances</t>
  </si>
  <si>
    <t xml:space="preserve">(iv) Loans </t>
  </si>
  <si>
    <t xml:space="preserve">  (v) Others financial assets</t>
  </si>
  <si>
    <t>(iv) Other financial liabilities</t>
  </si>
  <si>
    <t>Total Comprehensive Income</t>
  </si>
  <si>
    <t>FY26</t>
  </si>
  <si>
    <t>GRE Renew Enertech Ltd
GRE Renew Enertech Ltd
GRE Renew Enertech Ltd
GRE Renew Enertech Ltd</t>
  </si>
  <si>
    <t>Deferred Tax Assets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</si>
</sst>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_ * #,##0.000_ ;_ * \-#,##0.000_ ;_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6" fontId="0" fillId="0" borderId="5" xfId="1" applyNumberFormat="1" applyFont="1" applyFill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5" xfId="0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43" fontId="0" fillId="0" borderId="5" xfId="1" applyFont="1" applyBorder="1"/>
    <xf numFmtId="43" fontId="0" fillId="0" borderId="6" xfId="1" applyFont="1" applyBorder="1"/>
    <xf numFmtId="166" fontId="0" fillId="0" borderId="5" xfId="0" applyNumberFormat="1" applyBorder="1"/>
    <xf numFmtId="2" fontId="0" fillId="0" borderId="5" xfId="0" applyNumberFormat="1" applyBorder="1"/>
    <xf numFmtId="43" fontId="0" fillId="0" borderId="5" xfId="0" applyNumberFormat="1" applyBorder="1"/>
    <xf numFmtId="10" fontId="0" fillId="0" borderId="5" xfId="2" applyNumberFormat="1" applyFont="1" applyFill="1" applyBorder="1"/>
    <xf numFmtId="43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6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6" fillId="0" borderId="0" xfId="0" applyFont="1"/>
    <xf numFmtId="10" fontId="0" fillId="0" borderId="1" xfId="2" applyNumberFormat="1" applyFont="1" applyBorder="1"/>
    <xf numFmtId="0" fontId="0" fillId="0" borderId="1" xfId="0" applyBorder="1"/>
    <xf numFmtId="43" fontId="0" fillId="0" borderId="1" xfId="1" applyFont="1" applyBorder="1"/>
    <xf numFmtId="43" fontId="1" fillId="0" borderId="1" xfId="1" applyFont="1" applyBorder="1"/>
    <xf numFmtId="0" fontId="9" fillId="0" borderId="1" xfId="0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/>
    <xf numFmtId="0" fontId="0" fillId="0" borderId="1" xfId="0" applyBorder="1" applyAlignment="1">
      <alignment horizontal="left" indent="2"/>
    </xf>
    <xf numFmtId="0" fontId="1" fillId="0" borderId="7" xfId="0" applyFont="1" applyBorder="1"/>
    <xf numFmtId="0" fontId="0" fillId="2" borderId="1" xfId="0" applyFill="1" applyBorder="1"/>
    <xf numFmtId="164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0" fontId="9" fillId="0" borderId="1" xfId="0" applyFont="1" applyBorder="1" applyAlignment="1">
      <alignment horizontal="left" indent="1"/>
    </xf>
    <xf numFmtId="0" fontId="1" fillId="2" borderId="1" xfId="0" applyFont="1" applyFill="1" applyBorder="1"/>
    <xf numFmtId="0" fontId="1" fillId="4" borderId="1" xfId="0" applyFont="1" applyFill="1" applyBorder="1" applyAlignment="1">
      <alignment horizontal="left"/>
    </xf>
    <xf numFmtId="43" fontId="0" fillId="0" borderId="0" xfId="0" applyNumberFormat="1"/>
    <xf numFmtId="167" fontId="0" fillId="0" borderId="1" xfId="1" applyNumberFormat="1" applyFont="1" applyBorder="1"/>
    <xf numFmtId="0" fontId="0" fillId="0" borderId="1" xfId="0" applyBorder="1" applyAlignment="1">
      <alignment horizontal="right"/>
    </xf>
    <xf numFmtId="43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left" indent="1"/>
    </xf>
    <xf numFmtId="167" fontId="0" fillId="0" borderId="1" xfId="1" applyNumberFormat="1" applyFont="1" applyFill="1" applyBorder="1"/>
    <xf numFmtId="167" fontId="0" fillId="0" borderId="7" xfId="1" applyNumberFormat="1" applyFont="1" applyBorder="1"/>
    <xf numFmtId="167" fontId="1" fillId="2" borderId="1" xfId="1" applyNumberFormat="1" applyFont="1" applyFill="1" applyBorder="1"/>
    <xf numFmtId="167" fontId="0" fillId="0" borderId="1" xfId="0" applyNumberFormat="1" applyBorder="1"/>
    <xf numFmtId="167" fontId="0" fillId="2" borderId="1" xfId="1" applyNumberFormat="1" applyFont="1" applyFill="1" applyBorder="1"/>
    <xf numFmtId="167" fontId="0" fillId="2" borderId="1" xfId="0" applyNumberFormat="1" applyFill="1" applyBorder="1"/>
    <xf numFmtId="167" fontId="0" fillId="0" borderId="1" xfId="0" applyNumberFormat="1" applyBorder="1" applyAlignment="1">
      <alignment horizontal="right"/>
    </xf>
    <xf numFmtId="167" fontId="0" fillId="0" borderId="1" xfId="1" applyNumberFormat="1" applyFont="1" applyBorder="1" applyAlignment="1">
      <alignment horizontal="right"/>
    </xf>
    <xf numFmtId="167" fontId="0" fillId="0" borderId="0" xfId="0" applyNumberFormat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/>
    <xf numFmtId="0" fontId="7" fillId="5" borderId="1" xfId="0" applyFont="1" applyFill="1" applyBorder="1"/>
    <xf numFmtId="43" fontId="7" fillId="5" borderId="1" xfId="1" applyFont="1" applyFill="1" applyBorder="1"/>
    <xf numFmtId="10" fontId="7" fillId="5" borderId="1" xfId="2" applyNumberFormat="1" applyFont="1" applyFill="1" applyBorder="1"/>
    <xf numFmtId="10" fontId="7" fillId="5" borderId="1" xfId="0" applyNumberFormat="1" applyFont="1" applyFill="1" applyBorder="1"/>
    <xf numFmtId="0" fontId="1" fillId="4" borderId="1" xfId="0" applyFont="1" applyFill="1" applyBorder="1"/>
    <xf numFmtId="167" fontId="1" fillId="4" borderId="1" xfId="1" applyNumberFormat="1" applyFont="1" applyFill="1" applyBorder="1"/>
    <xf numFmtId="0" fontId="1" fillId="3" borderId="1" xfId="0" applyFont="1" applyFill="1" applyBorder="1"/>
    <xf numFmtId="0" fontId="3" fillId="4" borderId="1" xfId="0" applyFont="1" applyFill="1" applyBorder="1"/>
    <xf numFmtId="10" fontId="1" fillId="5" borderId="1" xfId="2" applyNumberFormat="1" applyFont="1" applyFill="1" applyBorder="1"/>
    <xf numFmtId="10" fontId="0" fillId="5" borderId="1" xfId="2" applyNumberFormat="1" applyFont="1" applyFill="1" applyBorder="1"/>
    <xf numFmtId="0" fontId="0" fillId="5" borderId="1" xfId="0" applyFill="1" applyBorder="1"/>
    <xf numFmtId="0" fontId="3" fillId="3" borderId="1" xfId="0" applyFont="1" applyFill="1" applyBorder="1"/>
    <xf numFmtId="0" fontId="1" fillId="3" borderId="7" xfId="0" applyFont="1" applyFill="1" applyBorder="1" applyAlignment="1">
      <alignment horizontal="left"/>
    </xf>
    <xf numFmtId="43" fontId="1" fillId="4" borderId="1" xfId="1" applyFont="1" applyFill="1" applyBorder="1"/>
    <xf numFmtId="168" fontId="1" fillId="4" borderId="1" xfId="1" applyNumberFormat="1" applyFont="1" applyFill="1" applyBorder="1"/>
    <xf numFmtId="165" fontId="0" fillId="0" borderId="1" xfId="2" applyNumberFormat="1" applyFont="1" applyBorder="1"/>
    <xf numFmtId="3" fontId="10" fillId="6" borderId="10" xfId="0" applyNumberFormat="1" applyFont="1" applyFill="1" applyBorder="1" applyAlignment="1">
      <alignment horizontal="right" vertical="center" wrapText="1"/>
    </xf>
    <xf numFmtId="0" fontId="10" fillId="6" borderId="10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5" borderId="0" xfId="0" applyFont="1" applyFill="1" applyAlignment="1">
      <alignment horizontal="center" wrapText="1"/>
    </xf>
    <xf numFmtId="0" fontId="8" fillId="5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79"/>
  <sheetViews>
    <sheetView tabSelected="1" zoomScale="80" zoomScaleNormal="80" workbookViewId="0">
      <selection activeCell="K55" sqref="K55"/>
    </sheetView>
  </sheetViews>
  <sheetFormatPr defaultRowHeight="14.4" x14ac:dyDescent="0.3"/>
  <cols>
    <col min="2" max="2" width="57.6640625" bestFit="1" customWidth="1"/>
    <col min="3" max="3" width="12.6640625" bestFit="1" customWidth="1"/>
    <col min="4" max="4" width="13.33203125" customWidth="1"/>
    <col min="5" max="5" width="12.33203125" customWidth="1"/>
    <col min="6" max="6" width="12" bestFit="1" customWidth="1"/>
    <col min="8" max="8" width="38.6640625" bestFit="1" customWidth="1"/>
    <col min="9" max="10" width="9.88671875" bestFit="1" customWidth="1"/>
    <col min="11" max="12" width="10.88671875" bestFit="1" customWidth="1"/>
  </cols>
  <sheetData>
    <row r="2" spans="2:12" ht="18" x14ac:dyDescent="0.35">
      <c r="B2" s="90" t="s">
        <v>167</v>
      </c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2:12" x14ac:dyDescent="0.3">
      <c r="B3" s="87" t="s">
        <v>16</v>
      </c>
      <c r="C3" s="87"/>
      <c r="D3" s="87"/>
      <c r="E3" s="87"/>
      <c r="F3" s="87"/>
      <c r="H3" s="88" t="s">
        <v>22</v>
      </c>
      <c r="I3" s="89"/>
      <c r="J3" s="89"/>
      <c r="K3" s="89"/>
      <c r="L3" s="89"/>
    </row>
    <row r="4" spans="2:12" x14ac:dyDescent="0.3">
      <c r="B4" s="66" t="s">
        <v>147</v>
      </c>
      <c r="C4" s="67" t="s">
        <v>120</v>
      </c>
      <c r="D4" s="67" t="s">
        <v>122</v>
      </c>
      <c r="E4" s="67" t="s">
        <v>123</v>
      </c>
      <c r="F4" s="67" t="s">
        <v>166</v>
      </c>
      <c r="H4" s="66" t="s">
        <v>147</v>
      </c>
      <c r="I4" s="67" t="s">
        <v>120</v>
      </c>
      <c r="J4" s="67" t="s">
        <v>122</v>
      </c>
      <c r="K4" s="67" t="s">
        <v>123</v>
      </c>
      <c r="L4" s="67" t="s">
        <v>166</v>
      </c>
    </row>
    <row r="5" spans="2:12" x14ac:dyDescent="0.3">
      <c r="B5" s="36" t="s">
        <v>0</v>
      </c>
      <c r="C5" s="51">
        <v>522.19000000000005</v>
      </c>
      <c r="D5" s="51">
        <v>903.40099999999995</v>
      </c>
      <c r="E5" s="51">
        <v>837.173</v>
      </c>
      <c r="F5" s="51">
        <v>1229.2159999999999</v>
      </c>
      <c r="H5" s="40" t="s">
        <v>154</v>
      </c>
      <c r="I5" s="51">
        <v>12.5</v>
      </c>
      <c r="J5" s="51">
        <v>12.5</v>
      </c>
      <c r="K5" s="51">
        <v>105.2</v>
      </c>
      <c r="L5" s="51">
        <v>142.88</v>
      </c>
    </row>
    <row r="6" spans="2:12" x14ac:dyDescent="0.3">
      <c r="B6" s="69" t="s">
        <v>1</v>
      </c>
      <c r="C6" s="70" t="s">
        <v>118</v>
      </c>
      <c r="D6" s="71">
        <f>D5/C5-1</f>
        <v>0.73002355464486079</v>
      </c>
      <c r="E6" s="71">
        <f t="shared" ref="E6" si="0">E5/D5-1</f>
        <v>-7.3309637691346352E-2</v>
      </c>
      <c r="F6" s="71">
        <f>F5/E5-1</f>
        <v>0.46829388907669012</v>
      </c>
      <c r="H6" s="40" t="s">
        <v>131</v>
      </c>
      <c r="I6" s="51">
        <v>98.866</v>
      </c>
      <c r="J6" s="51">
        <v>197.83500000000001</v>
      </c>
      <c r="K6" s="51">
        <v>206.977</v>
      </c>
      <c r="L6" s="51">
        <v>653.58299999999997</v>
      </c>
    </row>
    <row r="7" spans="2:12" x14ac:dyDescent="0.3">
      <c r="B7" s="69" t="s">
        <v>2</v>
      </c>
      <c r="C7" s="70" t="s">
        <v>118</v>
      </c>
      <c r="D7" s="70" t="s">
        <v>118</v>
      </c>
      <c r="E7" s="70" t="s">
        <v>118</v>
      </c>
      <c r="F7" s="72">
        <f>+((F5/C5)^(1/3)-1)</f>
        <v>0.3302498478877538</v>
      </c>
      <c r="H7" s="49" t="s">
        <v>17</v>
      </c>
      <c r="I7" s="74">
        <f>I5+I6</f>
        <v>111.366</v>
      </c>
      <c r="J7" s="74">
        <f t="shared" ref="J7:L7" si="1">J5+J6</f>
        <v>210.33500000000001</v>
      </c>
      <c r="K7" s="83">
        <f t="shared" si="1"/>
        <v>312.17700000000002</v>
      </c>
      <c r="L7" s="83">
        <f t="shared" si="1"/>
        <v>796.46299999999997</v>
      </c>
    </row>
    <row r="8" spans="2:12" x14ac:dyDescent="0.3">
      <c r="B8" s="73" t="s">
        <v>3</v>
      </c>
      <c r="C8" s="74">
        <f>SUM(C9:C13)</f>
        <v>509.05</v>
      </c>
      <c r="D8" s="74">
        <f>SUM(D9:D13)</f>
        <v>788.61500000000001</v>
      </c>
      <c r="E8" s="74">
        <f>SUM(E9:E13)</f>
        <v>742.6350000000001</v>
      </c>
      <c r="F8" s="74">
        <f>SUM(F9:F13)</f>
        <v>872.88799999999992</v>
      </c>
      <c r="H8" s="40" t="s">
        <v>12</v>
      </c>
      <c r="I8" s="62"/>
      <c r="J8" s="62"/>
      <c r="K8" s="62"/>
      <c r="L8" s="62"/>
    </row>
    <row r="9" spans="2:12" x14ac:dyDescent="0.3">
      <c r="B9" s="36" t="s">
        <v>124</v>
      </c>
      <c r="C9" s="51">
        <v>444.17200000000003</v>
      </c>
      <c r="D9" s="51">
        <v>698.41600000000005</v>
      </c>
      <c r="E9" s="51">
        <v>634.07100000000003</v>
      </c>
      <c r="F9" s="51">
        <v>834.56</v>
      </c>
      <c r="H9" s="40" t="s">
        <v>18</v>
      </c>
      <c r="I9" s="51">
        <v>12.932</v>
      </c>
      <c r="J9" s="51">
        <v>19.677</v>
      </c>
      <c r="K9" s="51">
        <v>12.178000000000001</v>
      </c>
      <c r="L9" s="51">
        <v>12.247999999999999</v>
      </c>
    </row>
    <row r="10" spans="2:12" x14ac:dyDescent="0.3">
      <c r="B10" s="36" t="s">
        <v>151</v>
      </c>
      <c r="C10" s="51">
        <v>0</v>
      </c>
      <c r="D10" s="51">
        <v>0</v>
      </c>
      <c r="E10" s="51">
        <v>0</v>
      </c>
      <c r="F10" s="51">
        <v>0</v>
      </c>
      <c r="H10" s="40" t="s">
        <v>19</v>
      </c>
      <c r="I10" s="51">
        <v>34.598999999999997</v>
      </c>
      <c r="J10" s="51">
        <v>25.991</v>
      </c>
      <c r="K10" s="51">
        <v>3.7389999999999999</v>
      </c>
      <c r="L10" s="51">
        <v>5.7859999999999996</v>
      </c>
    </row>
    <row r="11" spans="2:12" x14ac:dyDescent="0.3">
      <c r="B11" s="36" t="s">
        <v>152</v>
      </c>
      <c r="C11" s="51">
        <v>2.911</v>
      </c>
      <c r="D11" s="51">
        <v>0.61199999999999999</v>
      </c>
      <c r="E11" s="51">
        <v>3.6709999999999998</v>
      </c>
      <c r="F11" s="51">
        <v>-2.605</v>
      </c>
      <c r="H11" s="49" t="s">
        <v>20</v>
      </c>
      <c r="I11" s="74">
        <f>I9+I10</f>
        <v>47.530999999999999</v>
      </c>
      <c r="J11" s="74">
        <f t="shared" ref="J11:L11" si="2">J9+J10</f>
        <v>45.667999999999999</v>
      </c>
      <c r="K11" s="74">
        <f t="shared" si="2"/>
        <v>15.917000000000002</v>
      </c>
      <c r="L11" s="74">
        <f t="shared" si="2"/>
        <v>18.033999999999999</v>
      </c>
    </row>
    <row r="12" spans="2:12" x14ac:dyDescent="0.3">
      <c r="B12" s="36" t="s">
        <v>125</v>
      </c>
      <c r="C12" s="51">
        <v>22.501000000000001</v>
      </c>
      <c r="D12" s="51">
        <v>21.765999999999998</v>
      </c>
      <c r="E12" s="51">
        <v>29.744</v>
      </c>
      <c r="F12" s="51">
        <v>38.972999999999999</v>
      </c>
      <c r="H12" s="49" t="s">
        <v>21</v>
      </c>
      <c r="I12" s="74">
        <f>I7+I50</f>
        <v>125.48699999999999</v>
      </c>
      <c r="J12" s="74">
        <f>J7+J50</f>
        <v>231.44300000000001</v>
      </c>
      <c r="K12" s="74">
        <f>K7+K50</f>
        <v>328.714</v>
      </c>
      <c r="L12" s="74">
        <f>L7+L50</f>
        <v>822.35299999999995</v>
      </c>
    </row>
    <row r="13" spans="2:12" x14ac:dyDescent="0.3">
      <c r="B13" s="36" t="s">
        <v>153</v>
      </c>
      <c r="C13" s="51">
        <v>39.466000000000001</v>
      </c>
      <c r="D13" s="51">
        <v>67.820999999999998</v>
      </c>
      <c r="E13" s="51">
        <v>75.149000000000001</v>
      </c>
      <c r="F13" s="51">
        <v>1.96</v>
      </c>
      <c r="H13" s="49" t="s">
        <v>21</v>
      </c>
      <c r="I13" s="74">
        <f>I56-I39</f>
        <v>125.48700000000002</v>
      </c>
      <c r="J13" s="74">
        <f>J56-J39</f>
        <v>231.44200000000001</v>
      </c>
      <c r="K13" s="74">
        <f>K56-K39</f>
        <v>328.71499999999997</v>
      </c>
      <c r="L13" s="74">
        <f>L56-L39</f>
        <v>822.35299999999995</v>
      </c>
    </row>
    <row r="14" spans="2:12" x14ac:dyDescent="0.3">
      <c r="B14" s="73" t="s">
        <v>4</v>
      </c>
      <c r="C14" s="74">
        <f>C5-C8</f>
        <v>13.140000000000043</v>
      </c>
      <c r="D14" s="74">
        <f>D5-D8</f>
        <v>114.78599999999994</v>
      </c>
      <c r="E14" s="74">
        <f>E5-E8</f>
        <v>94.537999999999897</v>
      </c>
      <c r="F14" s="74">
        <f>F5-F8</f>
        <v>356.32799999999997</v>
      </c>
    </row>
    <row r="15" spans="2:12" x14ac:dyDescent="0.3">
      <c r="B15" s="69" t="s">
        <v>1</v>
      </c>
      <c r="C15" s="70" t="s">
        <v>118</v>
      </c>
      <c r="D15" s="71">
        <f>D14/C14-1</f>
        <v>7.7356164383561321</v>
      </c>
      <c r="E15" s="71">
        <f>E14/D14-1</f>
        <v>-0.17639781854930092</v>
      </c>
      <c r="F15" s="71">
        <f>F14/E14-1</f>
        <v>2.7691510292157688</v>
      </c>
      <c r="H15" s="49" t="s">
        <v>23</v>
      </c>
      <c r="I15" s="83">
        <f>SUM(I16:I26)</f>
        <v>37.466000000000001</v>
      </c>
      <c r="J15" s="83">
        <f>SUM(J16:J26)</f>
        <v>46.475000000000009</v>
      </c>
      <c r="K15" s="82">
        <f>SUM(K16:K26)</f>
        <v>149.24399999999997</v>
      </c>
      <c r="L15" s="82">
        <f>SUM(L16:L26)</f>
        <v>299.08699999999999</v>
      </c>
    </row>
    <row r="16" spans="2:12" x14ac:dyDescent="0.3">
      <c r="B16" s="69" t="s">
        <v>2</v>
      </c>
      <c r="C16" s="70" t="s">
        <v>118</v>
      </c>
      <c r="D16" s="70" t="s">
        <v>118</v>
      </c>
      <c r="E16" s="70" t="s">
        <v>118</v>
      </c>
      <c r="F16" s="72">
        <f>+((F14/C14)^(1/3)-1)</f>
        <v>2.0043569366813152</v>
      </c>
      <c r="H16" s="40" t="s">
        <v>24</v>
      </c>
      <c r="I16" s="51">
        <v>25.93</v>
      </c>
      <c r="J16" s="51">
        <v>21.245999999999999</v>
      </c>
      <c r="K16" s="51">
        <v>51.783000000000001</v>
      </c>
      <c r="L16" s="51">
        <v>151.60499999999999</v>
      </c>
    </row>
    <row r="17" spans="2:15" x14ac:dyDescent="0.3">
      <c r="B17" s="68" t="s">
        <v>5</v>
      </c>
      <c r="C17" s="77">
        <f>C14/C5</f>
        <v>2.5163254754016817E-2</v>
      </c>
      <c r="D17" s="77">
        <f t="shared" ref="D17:F17" si="3">D14/D5</f>
        <v>0.12705985492599625</v>
      </c>
      <c r="E17" s="77">
        <f>E14/E5</f>
        <v>0.11292528545473862</v>
      </c>
      <c r="F17" s="77">
        <f t="shared" si="3"/>
        <v>0.28988233150235598</v>
      </c>
      <c r="H17" s="40" t="s">
        <v>66</v>
      </c>
      <c r="I17" s="51">
        <v>2.863</v>
      </c>
      <c r="J17" s="51">
        <v>15.284000000000001</v>
      </c>
      <c r="K17" s="51">
        <v>90.35</v>
      </c>
      <c r="L17" s="51">
        <v>96.768000000000001</v>
      </c>
    </row>
    <row r="18" spans="2:15" x14ac:dyDescent="0.3">
      <c r="B18" s="36" t="s">
        <v>126</v>
      </c>
      <c r="C18" s="51">
        <v>8.8979999999999997</v>
      </c>
      <c r="D18" s="51">
        <v>18.138999999999999</v>
      </c>
      <c r="E18" s="51">
        <v>6.8559999999999999</v>
      </c>
      <c r="F18" s="51">
        <v>28.613</v>
      </c>
      <c r="H18" s="40" t="s">
        <v>133</v>
      </c>
      <c r="I18" s="51"/>
      <c r="J18" s="51"/>
      <c r="K18" s="51"/>
      <c r="L18" s="51">
        <v>0</v>
      </c>
    </row>
    <row r="19" spans="2:15" x14ac:dyDescent="0.3">
      <c r="B19" s="36" t="s">
        <v>127</v>
      </c>
      <c r="C19" s="51">
        <v>3.73</v>
      </c>
      <c r="D19" s="51">
        <v>2.7010000000000001</v>
      </c>
      <c r="E19" s="51">
        <v>3.5419999999999998</v>
      </c>
      <c r="F19" s="51">
        <v>7.1689999999999996</v>
      </c>
      <c r="H19" s="40" t="s">
        <v>134</v>
      </c>
      <c r="I19" s="51">
        <v>0.65200000000000002</v>
      </c>
      <c r="J19" s="51">
        <v>0.78</v>
      </c>
      <c r="K19" s="51">
        <v>0.52900000000000003</v>
      </c>
      <c r="L19" s="51">
        <v>0.54500000000000004</v>
      </c>
    </row>
    <row r="20" spans="2:15" x14ac:dyDescent="0.3">
      <c r="B20" s="36" t="s">
        <v>128</v>
      </c>
      <c r="C20" s="51">
        <v>3.0910000000000002</v>
      </c>
      <c r="D20" s="51">
        <v>3.89</v>
      </c>
      <c r="E20" s="51">
        <v>3.1989999999999998</v>
      </c>
      <c r="F20" s="51">
        <v>196.83699999999999</v>
      </c>
      <c r="H20" s="40" t="s">
        <v>135</v>
      </c>
      <c r="I20" s="51">
        <v>0</v>
      </c>
      <c r="J20" s="51">
        <v>0</v>
      </c>
      <c r="K20" s="51">
        <v>0</v>
      </c>
      <c r="L20" s="51">
        <v>0</v>
      </c>
    </row>
    <row r="21" spans="2:15" x14ac:dyDescent="0.3">
      <c r="B21" s="73" t="s">
        <v>7</v>
      </c>
      <c r="C21" s="83">
        <f>C14+C18-C19-C20</f>
        <v>15.217000000000041</v>
      </c>
      <c r="D21" s="82">
        <f>D14+D18-D19-D20</f>
        <v>126.33399999999996</v>
      </c>
      <c r="E21" s="83">
        <f>E14+E18-E19-E20</f>
        <v>94.652999999999892</v>
      </c>
      <c r="F21" s="83">
        <f>F14+F18-F19-F20</f>
        <v>180.935</v>
      </c>
      <c r="H21" s="40" t="s">
        <v>25</v>
      </c>
      <c r="I21" s="51"/>
      <c r="J21" s="51"/>
      <c r="K21" s="51"/>
      <c r="L21" s="51"/>
    </row>
    <row r="22" spans="2:15" x14ac:dyDescent="0.3">
      <c r="B22" s="36" t="s">
        <v>8</v>
      </c>
      <c r="C22" s="51">
        <f>6.229+0.06</f>
        <v>6.2889999999999997</v>
      </c>
      <c r="D22" s="51">
        <f>27.496-0.213</f>
        <v>27.282999999999998</v>
      </c>
      <c r="E22" s="51">
        <f>21.399+3.016</f>
        <v>24.414999999999999</v>
      </c>
      <c r="F22" s="51">
        <f>35.232+9.931</f>
        <v>45.162999999999997</v>
      </c>
      <c r="H22" s="40" t="s">
        <v>136</v>
      </c>
      <c r="I22" s="51">
        <v>1.0900000000000001</v>
      </c>
      <c r="J22" s="51">
        <v>1.0900000000000001</v>
      </c>
      <c r="K22" s="51">
        <v>1.075</v>
      </c>
      <c r="L22" s="51">
        <v>1.075</v>
      </c>
    </row>
    <row r="23" spans="2:15" x14ac:dyDescent="0.3">
      <c r="B23" s="69" t="s">
        <v>9</v>
      </c>
      <c r="C23" s="78">
        <f>C22/C21</f>
        <v>0.41328777025694829</v>
      </c>
      <c r="D23" s="78">
        <f t="shared" ref="D23:F23" si="4">D22/D21</f>
        <v>0.21595928253676766</v>
      </c>
      <c r="E23" s="78">
        <f t="shared" si="4"/>
        <v>0.25794216770731015</v>
      </c>
      <c r="F23" s="78">
        <f t="shared" si="4"/>
        <v>0.24960897559897199</v>
      </c>
      <c r="H23" s="54" t="s">
        <v>137</v>
      </c>
      <c r="I23" s="51"/>
      <c r="J23" s="51">
        <v>0</v>
      </c>
      <c r="K23" s="51">
        <v>0</v>
      </c>
      <c r="L23" s="51">
        <v>0</v>
      </c>
      <c r="M23" s="34"/>
      <c r="N23" s="34"/>
      <c r="O23" s="34"/>
    </row>
    <row r="24" spans="2:15" x14ac:dyDescent="0.3">
      <c r="B24" s="73" t="s">
        <v>10</v>
      </c>
      <c r="C24" s="83">
        <f>C21-C22</f>
        <v>8.9280000000000417</v>
      </c>
      <c r="D24" s="83">
        <f t="shared" ref="D24:F24" si="5">D21-D22</f>
        <v>99.050999999999959</v>
      </c>
      <c r="E24" s="83">
        <f t="shared" si="5"/>
        <v>70.237999999999886</v>
      </c>
      <c r="F24" s="83">
        <f t="shared" si="5"/>
        <v>135.77199999999999</v>
      </c>
      <c r="H24" s="40" t="s">
        <v>132</v>
      </c>
      <c r="I24" s="51"/>
      <c r="J24" s="51"/>
      <c r="K24" s="51"/>
      <c r="L24" s="51">
        <v>0</v>
      </c>
    </row>
    <row r="25" spans="2:15" x14ac:dyDescent="0.3">
      <c r="B25" s="68" t="s">
        <v>11</v>
      </c>
      <c r="C25" s="77">
        <f>C24/C5</f>
        <v>1.7097225147934738E-2</v>
      </c>
      <c r="D25" s="77">
        <f>D24/D5</f>
        <v>0.10964234044460872</v>
      </c>
      <c r="E25" s="77">
        <f>E24/E5</f>
        <v>8.3899026843913843E-2</v>
      </c>
      <c r="F25" s="77">
        <f>F24/F5</f>
        <v>0.11045414312862833</v>
      </c>
      <c r="H25" s="96" t="s">
        <v>168</v>
      </c>
      <c r="I25" s="51"/>
      <c r="J25" s="51">
        <v>8.1000000000000003E-2</v>
      </c>
      <c r="K25" s="51"/>
      <c r="L25" s="51"/>
    </row>
    <row r="26" spans="2:15" x14ac:dyDescent="0.3">
      <c r="B26" s="69" t="s">
        <v>2</v>
      </c>
      <c r="C26" s="70" t="s">
        <v>118</v>
      </c>
      <c r="D26" s="70" t="s">
        <v>118</v>
      </c>
      <c r="E26" s="70" t="s">
        <v>118</v>
      </c>
      <c r="F26" s="72">
        <f>+((F24/C24)^(1/3)-1)</f>
        <v>1.4775286078522507</v>
      </c>
      <c r="H26" s="40" t="s">
        <v>138</v>
      </c>
      <c r="I26" s="51">
        <v>6.931</v>
      </c>
      <c r="J26" s="51">
        <v>7.9939999999999998</v>
      </c>
      <c r="K26" s="51">
        <v>5.5069999999999997</v>
      </c>
      <c r="L26" s="51">
        <v>49.094000000000001</v>
      </c>
    </row>
    <row r="27" spans="2:15" x14ac:dyDescent="0.3">
      <c r="B27" s="36" t="s">
        <v>12</v>
      </c>
      <c r="C27" s="52"/>
      <c r="D27" s="52"/>
      <c r="E27" s="52"/>
      <c r="F27" s="52"/>
    </row>
    <row r="28" spans="2:15" x14ac:dyDescent="0.3">
      <c r="B28" s="36" t="s">
        <v>13</v>
      </c>
      <c r="C28" s="51"/>
      <c r="D28" s="51"/>
      <c r="E28" s="51"/>
      <c r="F28" s="55"/>
      <c r="H28" s="49" t="s">
        <v>26</v>
      </c>
      <c r="I28" s="83">
        <f>SUM(I29:I37)</f>
        <v>479.005</v>
      </c>
      <c r="J28" s="83">
        <f>SUM(J29:J37)</f>
        <v>444.76599999999996</v>
      </c>
      <c r="K28" s="74">
        <f>SUM(K29:K37)</f>
        <v>305.37</v>
      </c>
      <c r="L28" s="74">
        <f>SUM(L29:L37)</f>
        <v>761.77099999999996</v>
      </c>
    </row>
    <row r="29" spans="2:15" x14ac:dyDescent="0.3">
      <c r="B29" s="73" t="s">
        <v>165</v>
      </c>
      <c r="C29" s="83">
        <f>C24+C28</f>
        <v>8.9280000000000417</v>
      </c>
      <c r="D29" s="83">
        <f>D24+D28</f>
        <v>99.050999999999959</v>
      </c>
      <c r="E29" s="83">
        <f>E24+E28</f>
        <v>70.237999999999886</v>
      </c>
      <c r="F29" s="83">
        <f>F24+F28</f>
        <v>135.77199999999999</v>
      </c>
      <c r="H29" s="40" t="s">
        <v>27</v>
      </c>
      <c r="I29" s="51">
        <v>40.530999999999999</v>
      </c>
      <c r="J29" s="51">
        <v>48.106999999999999</v>
      </c>
      <c r="K29" s="51">
        <v>42.09</v>
      </c>
      <c r="L29" s="51">
        <v>115.29600000000001</v>
      </c>
    </row>
    <row r="30" spans="2:15" x14ac:dyDescent="0.3">
      <c r="B30" s="69" t="s">
        <v>1</v>
      </c>
      <c r="C30" s="70" t="s">
        <v>118</v>
      </c>
      <c r="D30" s="71">
        <f>D29/C29-1</f>
        <v>10.094422043010697</v>
      </c>
      <c r="E30" s="71">
        <f>E29/D29-1</f>
        <v>-0.29089055133214292</v>
      </c>
      <c r="F30" s="71">
        <f>F29/E29-1</f>
        <v>0.93302770580028205</v>
      </c>
      <c r="H30" s="40" t="s">
        <v>25</v>
      </c>
      <c r="I30" s="51"/>
      <c r="J30" s="51"/>
      <c r="K30" s="51"/>
      <c r="L30" s="51"/>
    </row>
    <row r="31" spans="2:15" x14ac:dyDescent="0.3">
      <c r="B31" s="69" t="s">
        <v>2</v>
      </c>
      <c r="C31" s="70" t="s">
        <v>118</v>
      </c>
      <c r="D31" s="70" t="s">
        <v>118</v>
      </c>
      <c r="E31" s="70" t="s">
        <v>118</v>
      </c>
      <c r="F31" s="72">
        <f>+((F29/C29)^(1/3)-1)</f>
        <v>1.4775286078522507</v>
      </c>
      <c r="H31" s="42" t="s">
        <v>159</v>
      </c>
      <c r="I31" s="51">
        <v>19.724</v>
      </c>
      <c r="J31" s="51">
        <v>54.518000000000001</v>
      </c>
      <c r="K31" s="51">
        <v>89.784999999999997</v>
      </c>
      <c r="L31" s="51">
        <v>97.986000000000004</v>
      </c>
    </row>
    <row r="32" spans="2:15" x14ac:dyDescent="0.3">
      <c r="B32" s="41" t="s">
        <v>14</v>
      </c>
      <c r="C32" s="38"/>
      <c r="D32" s="38"/>
      <c r="E32" s="38"/>
      <c r="F32" s="38"/>
      <c r="H32" s="42" t="s">
        <v>160</v>
      </c>
      <c r="I32" s="51">
        <v>16.975000000000001</v>
      </c>
      <c r="J32" s="51">
        <v>62.991</v>
      </c>
      <c r="K32" s="51">
        <v>66.881</v>
      </c>
      <c r="L32" s="51">
        <v>307.858</v>
      </c>
    </row>
    <row r="33" spans="2:15" x14ac:dyDescent="0.3">
      <c r="B33" s="36" t="s">
        <v>129</v>
      </c>
      <c r="C33" s="37">
        <v>0.89</v>
      </c>
      <c r="D33" s="37">
        <v>9.91</v>
      </c>
      <c r="E33" s="37">
        <v>6.7</v>
      </c>
      <c r="F33" s="37">
        <v>12.08</v>
      </c>
      <c r="H33" s="42" t="s">
        <v>161</v>
      </c>
      <c r="I33" s="51"/>
      <c r="J33" s="51"/>
      <c r="K33" s="51"/>
      <c r="L33" s="51"/>
    </row>
    <row r="34" spans="2:15" x14ac:dyDescent="0.3">
      <c r="B34" s="36" t="s">
        <v>130</v>
      </c>
      <c r="C34" s="37">
        <v>0.89</v>
      </c>
      <c r="D34" s="37">
        <v>9.91</v>
      </c>
      <c r="E34" s="37">
        <v>6.7</v>
      </c>
      <c r="F34" s="37">
        <v>12.08</v>
      </c>
      <c r="H34" s="42" t="s">
        <v>162</v>
      </c>
      <c r="I34" s="51">
        <v>400.84300000000002</v>
      </c>
      <c r="J34" s="51">
        <v>273.81099999999998</v>
      </c>
      <c r="K34" s="51">
        <v>90.447999999999993</v>
      </c>
      <c r="L34" s="51">
        <v>232.59200000000001</v>
      </c>
    </row>
    <row r="35" spans="2:15" x14ac:dyDescent="0.3">
      <c r="B35" s="79" t="s">
        <v>1</v>
      </c>
      <c r="C35" s="70" t="s">
        <v>118</v>
      </c>
      <c r="D35" s="71">
        <f>D34/C34-1</f>
        <v>10.134831460674157</v>
      </c>
      <c r="E35" s="71">
        <f>E34/D34-1</f>
        <v>-0.32391523713420789</v>
      </c>
      <c r="F35" s="71">
        <f>F34/E34-1</f>
        <v>0.80298507462686564</v>
      </c>
      <c r="H35" s="40" t="s">
        <v>163</v>
      </c>
      <c r="I35" s="51"/>
      <c r="J35" s="51"/>
      <c r="K35" s="51"/>
      <c r="L35" s="51"/>
    </row>
    <row r="36" spans="2:15" x14ac:dyDescent="0.3">
      <c r="B36" s="79" t="s">
        <v>2</v>
      </c>
      <c r="C36" s="70" t="s">
        <v>118</v>
      </c>
      <c r="D36" s="70" t="s">
        <v>118</v>
      </c>
      <c r="E36" s="70" t="s">
        <v>118</v>
      </c>
      <c r="F36" s="72">
        <f>+((F34/C34)^(1/3)-1)</f>
        <v>1.3853877019233556</v>
      </c>
      <c r="H36" s="40" t="s">
        <v>155</v>
      </c>
      <c r="I36" s="62"/>
      <c r="J36" s="51"/>
      <c r="K36" s="51"/>
      <c r="L36" s="51"/>
    </row>
    <row r="37" spans="2:15" x14ac:dyDescent="0.3">
      <c r="H37" s="40" t="s">
        <v>28</v>
      </c>
      <c r="I37" s="51">
        <v>0.93200000000000005</v>
      </c>
      <c r="J37" s="51">
        <v>5.3390000000000004</v>
      </c>
      <c r="K37" s="51">
        <v>16.166</v>
      </c>
      <c r="L37" s="51">
        <v>8.0389999999999997</v>
      </c>
    </row>
    <row r="38" spans="2:15" x14ac:dyDescent="0.3">
      <c r="B38" s="75" t="s">
        <v>148</v>
      </c>
      <c r="C38" s="67" t="s">
        <v>120</v>
      </c>
      <c r="D38" s="67" t="s">
        <v>122</v>
      </c>
      <c r="E38" s="67" t="s">
        <v>123</v>
      </c>
      <c r="F38" s="67" t="s">
        <v>166</v>
      </c>
      <c r="I38" s="63"/>
      <c r="J38" s="63"/>
      <c r="K38" s="63"/>
      <c r="L38" s="63"/>
    </row>
    <row r="39" spans="2:15" x14ac:dyDescent="0.3">
      <c r="B39" s="43" t="s">
        <v>52</v>
      </c>
      <c r="C39" s="56">
        <v>19.38</v>
      </c>
      <c r="D39" s="56">
        <f>C44</f>
        <v>16.974999999999998</v>
      </c>
      <c r="E39" s="56">
        <f>D44</f>
        <v>62.99199999999999</v>
      </c>
      <c r="F39" s="56">
        <f>E44</f>
        <v>66.880999999999986</v>
      </c>
      <c r="H39" s="49" t="s">
        <v>29</v>
      </c>
      <c r="I39" s="83">
        <f>SUM(I40:I47)</f>
        <v>390.98399999999998</v>
      </c>
      <c r="J39" s="83">
        <f>SUM(J40:J47)</f>
        <v>259.79899999999998</v>
      </c>
      <c r="K39" s="83">
        <f>SUM(K40:K47)</f>
        <v>125.899</v>
      </c>
      <c r="L39" s="83">
        <f>SUM(L40:L47)</f>
        <v>238.505</v>
      </c>
    </row>
    <row r="40" spans="2:15" x14ac:dyDescent="0.3">
      <c r="B40" s="36" t="s">
        <v>53</v>
      </c>
      <c r="C40" s="51">
        <v>-28.68</v>
      </c>
      <c r="D40" s="51">
        <v>58.101999999999997</v>
      </c>
      <c r="E40" s="51">
        <v>104.979</v>
      </c>
      <c r="F40" s="51">
        <v>45.572000000000003</v>
      </c>
      <c r="H40" s="40" t="s">
        <v>139</v>
      </c>
      <c r="I40" s="51"/>
      <c r="J40" s="51"/>
      <c r="K40" s="51"/>
      <c r="L40" s="51"/>
      <c r="M40" s="34"/>
      <c r="N40" s="34"/>
      <c r="O40" s="34"/>
    </row>
    <row r="41" spans="2:15" x14ac:dyDescent="0.3">
      <c r="B41" s="36" t="s">
        <v>54</v>
      </c>
      <c r="C41" s="51">
        <v>59.695999999999998</v>
      </c>
      <c r="D41" s="51">
        <v>-6.3330000000000002</v>
      </c>
      <c r="E41" s="51">
        <v>-100.834</v>
      </c>
      <c r="F41" s="51">
        <v>-153.26400000000001</v>
      </c>
      <c r="H41" s="40" t="s">
        <v>140</v>
      </c>
      <c r="I41" s="51">
        <v>34.598999999999997</v>
      </c>
      <c r="J41" s="51">
        <v>25.991</v>
      </c>
      <c r="K41" s="51">
        <v>3.7389999999999999</v>
      </c>
      <c r="L41" s="51">
        <v>5.7859999999999996</v>
      </c>
    </row>
    <row r="42" spans="2:15" x14ac:dyDescent="0.3">
      <c r="B42" s="36" t="s">
        <v>55</v>
      </c>
      <c r="C42" s="51">
        <v>-33.420999999999999</v>
      </c>
      <c r="D42" s="51">
        <v>-5.7519999999999998</v>
      </c>
      <c r="E42" s="51">
        <v>-0.25600000000000001</v>
      </c>
      <c r="F42" s="51">
        <v>348.66800000000001</v>
      </c>
      <c r="H42" s="40" t="s">
        <v>144</v>
      </c>
      <c r="I42" s="51"/>
      <c r="J42" s="62"/>
      <c r="K42" s="51"/>
      <c r="L42" s="51"/>
    </row>
    <row r="43" spans="2:15" x14ac:dyDescent="0.3">
      <c r="B43" s="48" t="s">
        <v>56</v>
      </c>
      <c r="C43" s="57">
        <f>C40+C41+C42</f>
        <v>-2.4050000000000011</v>
      </c>
      <c r="D43" s="57">
        <f t="shared" ref="D43:F43" si="6">D40+D41+D42</f>
        <v>46.016999999999996</v>
      </c>
      <c r="E43" s="57">
        <f t="shared" si="6"/>
        <v>3.8889999999999958</v>
      </c>
      <c r="F43" s="57">
        <f t="shared" si="6"/>
        <v>240.976</v>
      </c>
      <c r="H43" s="40" t="s">
        <v>156</v>
      </c>
      <c r="I43" s="51">
        <f>5.84+4.009</f>
        <v>9.8490000000000002</v>
      </c>
      <c r="J43" s="51">
        <f>3.867+1.737</f>
        <v>5.6040000000000001</v>
      </c>
      <c r="K43" s="51">
        <f>28.605+15.549</f>
        <v>44.153999999999996</v>
      </c>
      <c r="L43" s="51">
        <f>5.438+92.185</f>
        <v>97.623000000000005</v>
      </c>
    </row>
    <row r="44" spans="2:15" x14ac:dyDescent="0.3">
      <c r="B44" s="73" t="s">
        <v>57</v>
      </c>
      <c r="C44" s="82">
        <f>C39+C43</f>
        <v>16.974999999999998</v>
      </c>
      <c r="D44" s="82">
        <f>D43+D39</f>
        <v>62.99199999999999</v>
      </c>
      <c r="E44" s="82">
        <f>E39+E43</f>
        <v>66.880999999999986</v>
      </c>
      <c r="F44" s="82">
        <f>F39+F43</f>
        <v>307.85699999999997</v>
      </c>
      <c r="H44" s="40" t="s">
        <v>164</v>
      </c>
      <c r="I44" s="51"/>
      <c r="J44" s="51"/>
      <c r="K44" s="51"/>
      <c r="L44" s="51"/>
    </row>
    <row r="45" spans="2:15" x14ac:dyDescent="0.3">
      <c r="B45" s="80" t="s">
        <v>146</v>
      </c>
      <c r="C45" s="67" t="s">
        <v>120</v>
      </c>
      <c r="D45" s="67" t="s">
        <v>122</v>
      </c>
      <c r="E45" s="67" t="s">
        <v>123</v>
      </c>
      <c r="F45" s="67" t="s">
        <v>166</v>
      </c>
      <c r="H45" s="40" t="s">
        <v>67</v>
      </c>
      <c r="I45" s="51">
        <v>3.0059999999999998</v>
      </c>
      <c r="J45" s="51">
        <v>27.212</v>
      </c>
      <c r="K45" s="51">
        <v>21.948</v>
      </c>
      <c r="L45" s="51">
        <v>37.789000000000001</v>
      </c>
    </row>
    <row r="46" spans="2:15" x14ac:dyDescent="0.3">
      <c r="B46" s="39" t="s">
        <v>58</v>
      </c>
      <c r="C46" s="51">
        <f>C40</f>
        <v>-28.68</v>
      </c>
      <c r="D46" s="51">
        <f t="shared" ref="D46:F46" si="7">D40</f>
        <v>58.101999999999997</v>
      </c>
      <c r="E46" s="51">
        <f t="shared" si="7"/>
        <v>104.979</v>
      </c>
      <c r="F46" s="51">
        <f>F40</f>
        <v>45.572000000000003</v>
      </c>
      <c r="H46" s="40" t="s">
        <v>157</v>
      </c>
      <c r="I46" s="51"/>
      <c r="J46" s="62"/>
      <c r="K46" s="62"/>
      <c r="L46" s="51"/>
    </row>
    <row r="47" spans="2:15" x14ac:dyDescent="0.3">
      <c r="B47" s="39" t="s">
        <v>59</v>
      </c>
      <c r="C47" s="59">
        <f>-5.95+65.318</f>
        <v>59.367999999999995</v>
      </c>
      <c r="D47" s="59">
        <f>-13.839+6.382</f>
        <v>-7.4570000000000007</v>
      </c>
      <c r="E47" s="59">
        <f>-109.048+0.147</f>
        <v>-108.901</v>
      </c>
      <c r="F47" s="60">
        <v>-113.423</v>
      </c>
      <c r="G47" s="97"/>
      <c r="H47" s="40" t="s">
        <v>141</v>
      </c>
      <c r="I47" s="51">
        <v>343.53</v>
      </c>
      <c r="J47" s="51">
        <v>200.99199999999999</v>
      </c>
      <c r="K47" s="51">
        <v>56.058</v>
      </c>
      <c r="L47" s="51">
        <v>97.307000000000002</v>
      </c>
      <c r="M47" s="34"/>
      <c r="N47" s="34"/>
      <c r="O47" s="34"/>
    </row>
    <row r="48" spans="2:15" x14ac:dyDescent="0.3">
      <c r="B48" s="76" t="s">
        <v>145</v>
      </c>
      <c r="C48" s="74">
        <f>C46+C47</f>
        <v>30.687999999999995</v>
      </c>
      <c r="D48" s="74">
        <f t="shared" ref="D48:F48" si="8">D46+D47</f>
        <v>50.644999999999996</v>
      </c>
      <c r="E48" s="74">
        <f>E46+E47</f>
        <v>-3.921999999999997</v>
      </c>
      <c r="F48" s="74">
        <f t="shared" si="8"/>
        <v>-67.850999999999999</v>
      </c>
      <c r="H48" s="49" t="s">
        <v>30</v>
      </c>
      <c r="I48" s="74">
        <f>I28-I39</f>
        <v>88.021000000000015</v>
      </c>
      <c r="J48" s="74">
        <f>J28-J39</f>
        <v>184.96699999999998</v>
      </c>
      <c r="K48" s="74">
        <f>K28-K39</f>
        <v>179.471</v>
      </c>
      <c r="L48" s="74">
        <f>L28-L39</f>
        <v>523.26599999999996</v>
      </c>
    </row>
    <row r="49" spans="2:15" x14ac:dyDescent="0.3">
      <c r="I49" s="63"/>
      <c r="J49" s="63"/>
      <c r="K49" s="63"/>
      <c r="L49" s="63"/>
    </row>
    <row r="50" spans="2:15" x14ac:dyDescent="0.3">
      <c r="B50" s="75" t="s">
        <v>150</v>
      </c>
      <c r="C50" s="67" t="s">
        <v>120</v>
      </c>
      <c r="D50" s="67" t="s">
        <v>122</v>
      </c>
      <c r="E50" s="67" t="s">
        <v>123</v>
      </c>
      <c r="F50" s="67" t="s">
        <v>166</v>
      </c>
      <c r="H50" s="49" t="s">
        <v>119</v>
      </c>
      <c r="I50" s="83">
        <f>SUM(I52:I55)</f>
        <v>14.121</v>
      </c>
      <c r="J50" s="83">
        <f>SUM(J52:J55)</f>
        <v>21.108000000000001</v>
      </c>
      <c r="K50" s="74">
        <f>SUM(K52:K55)</f>
        <v>16.536999999999999</v>
      </c>
      <c r="L50" s="74">
        <f>SUM(L52:L55)</f>
        <v>25.89</v>
      </c>
    </row>
    <row r="51" spans="2:15" x14ac:dyDescent="0.3">
      <c r="B51" s="28" t="s">
        <v>61</v>
      </c>
      <c r="C51" s="53"/>
      <c r="D51" s="53"/>
      <c r="E51" s="85"/>
      <c r="F51" s="85">
        <v>14288000</v>
      </c>
      <c r="G51" s="86"/>
      <c r="H51" s="40" t="s">
        <v>142</v>
      </c>
      <c r="I51" s="51"/>
      <c r="J51" s="51"/>
      <c r="K51" s="51"/>
      <c r="L51" s="51"/>
    </row>
    <row r="52" spans="2:15" x14ac:dyDescent="0.3">
      <c r="B52" s="44" t="s">
        <v>121</v>
      </c>
      <c r="C52" s="61"/>
      <c r="D52" s="61"/>
      <c r="E52" s="59">
        <f>E51*K60/1000000</f>
        <v>0</v>
      </c>
      <c r="F52" s="59">
        <f>F51*L60/1000000</f>
        <v>1357.36</v>
      </c>
      <c r="H52" s="40" t="s">
        <v>143</v>
      </c>
      <c r="I52" s="51">
        <v>12.932</v>
      </c>
      <c r="J52" s="51">
        <v>19.677</v>
      </c>
      <c r="K52" s="51">
        <v>12.178000000000001</v>
      </c>
      <c r="L52" s="51">
        <v>12.247999999999999</v>
      </c>
    </row>
    <row r="53" spans="2:15" x14ac:dyDescent="0.3">
      <c r="B53" s="36" t="s">
        <v>63</v>
      </c>
      <c r="C53" s="51">
        <f>I11</f>
        <v>47.530999999999999</v>
      </c>
      <c r="D53" s="51">
        <f t="shared" ref="D53:F53" si="9">J11</f>
        <v>45.667999999999999</v>
      </c>
      <c r="E53" s="51">
        <f t="shared" si="9"/>
        <v>15.917000000000002</v>
      </c>
      <c r="F53" s="51">
        <f t="shared" si="9"/>
        <v>18.033999999999999</v>
      </c>
      <c r="H53" s="40" t="s">
        <v>144</v>
      </c>
      <c r="I53" s="51"/>
      <c r="J53" s="61"/>
      <c r="K53" s="51"/>
      <c r="L53" s="51"/>
    </row>
    <row r="54" spans="2:15" x14ac:dyDescent="0.3">
      <c r="B54" s="36" t="s">
        <v>64</v>
      </c>
      <c r="C54" s="51">
        <f>SUM(I32:I33)</f>
        <v>16.975000000000001</v>
      </c>
      <c r="D54" s="51">
        <f>SUM(J32:J33)</f>
        <v>62.991</v>
      </c>
      <c r="E54" s="51">
        <f>SUM(K32:K33)</f>
        <v>66.881</v>
      </c>
      <c r="F54" s="51">
        <f>SUM(L32:L33)</f>
        <v>307.858</v>
      </c>
      <c r="H54" s="40" t="s">
        <v>67</v>
      </c>
      <c r="I54" s="51">
        <v>1.0580000000000001</v>
      </c>
      <c r="J54" s="51">
        <v>1.431</v>
      </c>
      <c r="K54" s="51">
        <v>1.3759999999999999</v>
      </c>
      <c r="L54" s="51">
        <v>0.72799999999999998</v>
      </c>
    </row>
    <row r="55" spans="2:15" x14ac:dyDescent="0.3">
      <c r="B55" s="44" t="s">
        <v>65</v>
      </c>
      <c r="C55" s="62" t="s">
        <v>118</v>
      </c>
      <c r="D55" s="62" t="s">
        <v>118</v>
      </c>
      <c r="E55" s="51" t="s">
        <v>118</v>
      </c>
      <c r="F55" s="51">
        <f t="shared" ref="F55" si="10">F52+F53-F54</f>
        <v>1067.5360000000001</v>
      </c>
      <c r="H55" s="40" t="s">
        <v>158</v>
      </c>
      <c r="I55" s="51">
        <v>0.13100000000000001</v>
      </c>
      <c r="J55" s="51">
        <v>0</v>
      </c>
      <c r="K55" s="51">
        <v>2.9830000000000001</v>
      </c>
      <c r="L55" s="51">
        <v>12.914</v>
      </c>
    </row>
    <row r="56" spans="2:15" x14ac:dyDescent="0.3">
      <c r="H56" s="49" t="s">
        <v>31</v>
      </c>
      <c r="I56" s="82">
        <f>I28+I15</f>
        <v>516.471</v>
      </c>
      <c r="J56" s="82">
        <f>J28+J15</f>
        <v>491.24099999999999</v>
      </c>
      <c r="K56" s="82">
        <f>K28+K15</f>
        <v>454.61399999999998</v>
      </c>
      <c r="L56" s="82">
        <f>L28+L15</f>
        <v>1060.8579999999999</v>
      </c>
    </row>
    <row r="57" spans="2:15" x14ac:dyDescent="0.3">
      <c r="H57" s="49" t="s">
        <v>32</v>
      </c>
      <c r="I57" s="82">
        <f>I39+I50+I7</f>
        <v>516.471</v>
      </c>
      <c r="J57" s="82">
        <f>J39+J50+J7</f>
        <v>491.24199999999996</v>
      </c>
      <c r="K57" s="82">
        <f>K39+K50+K7</f>
        <v>454.61300000000006</v>
      </c>
      <c r="L57" s="82">
        <f>L39+L50+L7</f>
        <v>1060.8579999999999</v>
      </c>
    </row>
    <row r="59" spans="2:15" x14ac:dyDescent="0.3">
      <c r="F59" s="50"/>
      <c r="H59" s="81" t="s">
        <v>149</v>
      </c>
      <c r="I59" s="67" t="s">
        <v>120</v>
      </c>
      <c r="J59" s="67" t="s">
        <v>122</v>
      </c>
      <c r="K59" s="67" t="s">
        <v>123</v>
      </c>
      <c r="L59" s="67" t="s">
        <v>166</v>
      </c>
    </row>
    <row r="60" spans="2:15" x14ac:dyDescent="0.3">
      <c r="F60" s="50"/>
      <c r="H60" s="45" t="s">
        <v>33</v>
      </c>
      <c r="I60" s="61"/>
      <c r="J60" s="61"/>
      <c r="K60" s="58"/>
      <c r="L60" s="58">
        <v>95</v>
      </c>
      <c r="M60" s="34"/>
      <c r="N60" s="34"/>
      <c r="O60" s="34"/>
    </row>
    <row r="61" spans="2:15" x14ac:dyDescent="0.3">
      <c r="D61" s="50"/>
      <c r="H61" s="45" t="s">
        <v>34</v>
      </c>
      <c r="I61" s="58">
        <f>C34</f>
        <v>0.89</v>
      </c>
      <c r="J61" s="58">
        <f>D34</f>
        <v>9.91</v>
      </c>
      <c r="K61" s="58">
        <f>E34</f>
        <v>6.7</v>
      </c>
      <c r="L61" s="58">
        <f>F34</f>
        <v>12.08</v>
      </c>
    </row>
    <row r="62" spans="2:15" x14ac:dyDescent="0.3">
      <c r="H62" s="45" t="s">
        <v>35</v>
      </c>
      <c r="I62" s="61" t="s">
        <v>68</v>
      </c>
      <c r="J62" s="61" t="s">
        <v>68</v>
      </c>
      <c r="K62" s="60" t="e">
        <f>K7*1000000/E51</f>
        <v>#DIV/0!</v>
      </c>
      <c r="L62" s="60">
        <f>L7*1000000/F51</f>
        <v>55.743491041433373</v>
      </c>
    </row>
    <row r="63" spans="2:15" x14ac:dyDescent="0.3">
      <c r="H63" s="45" t="s">
        <v>36</v>
      </c>
      <c r="I63" s="61" t="s">
        <v>68</v>
      </c>
      <c r="J63" s="61" t="s">
        <v>68</v>
      </c>
      <c r="K63" s="61" t="s">
        <v>68</v>
      </c>
      <c r="L63" s="61" t="s">
        <v>68</v>
      </c>
    </row>
    <row r="64" spans="2:15" x14ac:dyDescent="0.3">
      <c r="H64" s="45" t="s">
        <v>37</v>
      </c>
      <c r="I64" s="61" t="s">
        <v>68</v>
      </c>
      <c r="J64" s="61" t="s">
        <v>68</v>
      </c>
      <c r="K64" s="58">
        <f>K60/K61</f>
        <v>0</v>
      </c>
      <c r="L64" s="58">
        <f>L60/L61</f>
        <v>7.8642384105960268</v>
      </c>
    </row>
    <row r="65" spans="8:12" x14ac:dyDescent="0.3">
      <c r="H65" s="45" t="s">
        <v>38</v>
      </c>
      <c r="I65" s="61" t="s">
        <v>68</v>
      </c>
      <c r="J65" s="61" t="s">
        <v>68</v>
      </c>
      <c r="K65" s="58" t="e">
        <f>K60/K62</f>
        <v>#DIV/0!</v>
      </c>
      <c r="L65" s="58">
        <f>L60/L62</f>
        <v>1.7042348483231486</v>
      </c>
    </row>
    <row r="66" spans="8:12" x14ac:dyDescent="0.3">
      <c r="H66" s="45" t="s">
        <v>39</v>
      </c>
      <c r="I66" s="61" t="s">
        <v>68</v>
      </c>
      <c r="J66" s="61" t="s">
        <v>68</v>
      </c>
      <c r="K66" s="58" t="e">
        <f>E55/E14</f>
        <v>#VALUE!</v>
      </c>
      <c r="L66" s="58">
        <f>F55/F14</f>
        <v>2.9959363283267106</v>
      </c>
    </row>
    <row r="67" spans="8:12" x14ac:dyDescent="0.3">
      <c r="H67" s="46" t="s">
        <v>40</v>
      </c>
      <c r="I67" s="35">
        <f t="shared" ref="I67:K67" si="11">C24/AVERAGE(H7:I7)</f>
        <v>8.0168094391466355E-2</v>
      </c>
      <c r="J67" s="35">
        <f t="shared" si="11"/>
        <v>0.61579541251037428</v>
      </c>
      <c r="K67" s="35">
        <f t="shared" si="11"/>
        <v>0.26884741403068207</v>
      </c>
      <c r="L67" s="35">
        <f>F24/AVERAGE(K7:L7)</f>
        <v>0.24493433395872422</v>
      </c>
    </row>
    <row r="68" spans="8:12" x14ac:dyDescent="0.3">
      <c r="H68" s="46" t="s">
        <v>41</v>
      </c>
      <c r="I68" s="35">
        <f t="shared" ref="I68:K68" si="12">(C21+C20)/AVERAGE(H13:I13)</f>
        <v>0.14589559077832795</v>
      </c>
      <c r="J68" s="35">
        <f t="shared" si="12"/>
        <v>0.72969133917389706</v>
      </c>
      <c r="K68" s="35">
        <f t="shared" si="12"/>
        <v>0.34937347922100376</v>
      </c>
      <c r="L68" s="35">
        <f>(F21+F20)/AVERAGE(K13:L13)</f>
        <v>0.65638520052681504</v>
      </c>
    </row>
    <row r="69" spans="8:12" x14ac:dyDescent="0.3">
      <c r="H69" s="45" t="s">
        <v>42</v>
      </c>
      <c r="I69" s="64">
        <f>I11/I7</f>
        <v>0.42679992098126895</v>
      </c>
      <c r="J69" s="64">
        <f t="shared" ref="J69:L69" si="13">J11/J7</f>
        <v>0.21712030807996766</v>
      </c>
      <c r="K69" s="64">
        <f t="shared" si="13"/>
        <v>5.0987100266835804E-2</v>
      </c>
      <c r="L69" s="64">
        <f t="shared" si="13"/>
        <v>2.2642608633420509E-2</v>
      </c>
    </row>
    <row r="70" spans="8:12" x14ac:dyDescent="0.3">
      <c r="H70" s="45" t="s">
        <v>43</v>
      </c>
      <c r="I70" s="64">
        <f>(I11-C54)/I7</f>
        <v>0.27437458470269199</v>
      </c>
      <c r="J70" s="64">
        <f t="shared" ref="J70:L70" si="14">(J11-D54)/J7</f>
        <v>-8.2359093826514851E-2</v>
      </c>
      <c r="K70" s="64">
        <f t="shared" si="14"/>
        <v>-0.16325353885776336</v>
      </c>
      <c r="L70" s="64">
        <f t="shared" si="14"/>
        <v>-0.36388884354954343</v>
      </c>
    </row>
    <row r="71" spans="8:12" x14ac:dyDescent="0.3">
      <c r="H71" s="45" t="s">
        <v>44</v>
      </c>
      <c r="I71" s="65" t="s">
        <v>68</v>
      </c>
      <c r="J71" s="65" t="s">
        <v>68</v>
      </c>
      <c r="K71" s="65" t="s">
        <v>68</v>
      </c>
      <c r="L71" s="65" t="s">
        <v>68</v>
      </c>
    </row>
    <row r="72" spans="8:12" x14ac:dyDescent="0.3">
      <c r="H72" s="45" t="s">
        <v>45</v>
      </c>
      <c r="I72" s="64">
        <f>AVERAGE(I31:I31)/C5*365</f>
        <v>13.786667688006279</v>
      </c>
      <c r="J72" s="64">
        <f>AVERAGE(I31:J31)/D5*365</f>
        <v>14.997952182917665</v>
      </c>
      <c r="K72" s="64">
        <f>AVERAGE(J31:K31)/E5*365</f>
        <v>31.457413820082586</v>
      </c>
      <c r="L72" s="64">
        <f>AVERAGE(K31:L31)/F5*365</f>
        <v>27.878100756905219</v>
      </c>
    </row>
    <row r="73" spans="8:12" x14ac:dyDescent="0.3">
      <c r="H73" s="45" t="s">
        <v>46</v>
      </c>
      <c r="I73" s="64">
        <f>AVERAGE(I43:I43)/SUM(C9:C11)*365</f>
        <v>8.0407552959964921</v>
      </c>
      <c r="J73" s="64">
        <f>AVERAGE(I43:J43)/SUM(D9:D11)*365</f>
        <v>4.0344199373987877</v>
      </c>
      <c r="K73" s="64">
        <f t="shared" ref="K73:L73" si="15">AVERAGE(J43:K43)/SUM(E9:E11)*365</f>
        <v>14.239041806874877</v>
      </c>
      <c r="L73" s="64">
        <f t="shared" si="15"/>
        <v>31.100603398020329</v>
      </c>
    </row>
    <row r="74" spans="8:12" x14ac:dyDescent="0.3">
      <c r="H74" s="45" t="s">
        <v>47</v>
      </c>
      <c r="I74" s="64">
        <f>AVERAGE(I29:I29)/(SUM(C9:C11))*365</f>
        <v>33.089638836636595</v>
      </c>
      <c r="J74" s="64">
        <f>AVERAGE(I29:J29)/SUM(D9:D11)*365</f>
        <v>23.141326241581169</v>
      </c>
      <c r="K74" s="64">
        <f>AVERAGE(J29:K29)/SUM(E9:E11)*365</f>
        <v>25.811303787425008</v>
      </c>
      <c r="L74" s="64">
        <f>AVERAGE(K29:L29)/SUM(F9:F11)*365</f>
        <v>34.524637750839901</v>
      </c>
    </row>
    <row r="75" spans="8:12" x14ac:dyDescent="0.3">
      <c r="H75" s="45" t="s">
        <v>48</v>
      </c>
      <c r="I75" s="64">
        <f>I74+I72-I73</f>
        <v>38.835551228646381</v>
      </c>
      <c r="J75" s="64">
        <f>J74+J72-J73</f>
        <v>34.104858487100046</v>
      </c>
      <c r="K75" s="64">
        <f t="shared" ref="K75:L75" si="16">K74+K72-K73</f>
        <v>43.029675800632717</v>
      </c>
      <c r="L75" s="64">
        <f t="shared" si="16"/>
        <v>31.302135109724791</v>
      </c>
    </row>
    <row r="76" spans="8:12" x14ac:dyDescent="0.3">
      <c r="H76" s="45" t="s">
        <v>49</v>
      </c>
      <c r="I76" s="64">
        <f>AVERAGE(I48:I48)/C5*365</f>
        <v>61.524856852869647</v>
      </c>
      <c r="J76" s="64">
        <f>AVERAGE(I48:J48)/D5*365</f>
        <v>55.147503710976636</v>
      </c>
      <c r="K76" s="64">
        <f>AVERAGE(J48:K48)/E5*365</f>
        <v>79.445867222187047</v>
      </c>
      <c r="L76" s="64">
        <f>AVERAGE(K48:L48)/F5*365</f>
        <v>104.33439078241742</v>
      </c>
    </row>
    <row r="77" spans="8:12" x14ac:dyDescent="0.3">
      <c r="H77" s="47" t="s">
        <v>50</v>
      </c>
      <c r="I77" s="84">
        <f>C20/I11</f>
        <v>6.5031242767877806E-2</v>
      </c>
      <c r="J77" s="84">
        <f t="shared" ref="J77:L77" si="17">D20/J11</f>
        <v>8.5179994744678994E-2</v>
      </c>
      <c r="K77" s="84">
        <f t="shared" si="17"/>
        <v>0.20098008418671856</v>
      </c>
      <c r="L77" s="84">
        <f>F20/L11</f>
        <v>10.914772097149829</v>
      </c>
    </row>
    <row r="78" spans="8:12" x14ac:dyDescent="0.3">
      <c r="H78" s="40" t="s">
        <v>51</v>
      </c>
      <c r="I78" s="64">
        <f>(C21+C20)/C20</f>
        <v>5.9230022646392886</v>
      </c>
      <c r="J78" s="64">
        <f t="shared" ref="J78:L78" si="18">(D21+D20)/D20</f>
        <v>33.476606683804619</v>
      </c>
      <c r="K78" s="64">
        <f t="shared" si="18"/>
        <v>30.588308846514504</v>
      </c>
      <c r="L78" s="64">
        <f t="shared" si="18"/>
        <v>1.9192123432078319</v>
      </c>
    </row>
    <row r="79" spans="8:12" x14ac:dyDescent="0.3">
      <c r="H79" s="47" t="s">
        <v>117</v>
      </c>
      <c r="I79" s="64">
        <f>C5/AVERAGE(I56)</f>
        <v>1.0110732257958337</v>
      </c>
      <c r="J79" s="64">
        <f>D5/AVERAGE(I56:J56)</f>
        <v>1.7929745800387411</v>
      </c>
      <c r="K79" s="64">
        <f>E5/AVERAGE(J56:K56)</f>
        <v>1.7701931057085916</v>
      </c>
      <c r="L79" s="64">
        <f>F5/AVERAGE(K56:L56)</f>
        <v>1.6222219876051815</v>
      </c>
    </row>
  </sheetData>
  <mergeCells count="3">
    <mergeCell ref="B3:F3"/>
    <mergeCell ref="H3:L3"/>
    <mergeCell ref="B2:L2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J74:K7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workbookViewId="0">
      <selection activeCell="D26" sqref="D26"/>
    </sheetView>
  </sheetViews>
  <sheetFormatPr defaultRowHeight="14.4" x14ac:dyDescent="0.3"/>
  <cols>
    <col min="1" max="1" width="45" customWidth="1"/>
    <col min="2" max="10" width="15.109375" customWidth="1"/>
  </cols>
  <sheetData>
    <row r="1" spans="1:11" x14ac:dyDescent="0.3">
      <c r="B1" s="1" t="s">
        <v>15</v>
      </c>
      <c r="C1" s="1" t="s">
        <v>69</v>
      </c>
      <c r="D1" s="1" t="s">
        <v>15</v>
      </c>
      <c r="E1" s="1" t="s">
        <v>69</v>
      </c>
      <c r="F1" s="1" t="s">
        <v>15</v>
      </c>
      <c r="G1" s="1" t="s">
        <v>69</v>
      </c>
      <c r="H1" s="1" t="s">
        <v>15</v>
      </c>
      <c r="I1" s="1" t="s">
        <v>69</v>
      </c>
      <c r="J1" s="1" t="s">
        <v>15</v>
      </c>
      <c r="K1" s="1" t="s">
        <v>69</v>
      </c>
    </row>
    <row r="2" spans="1:11" x14ac:dyDescent="0.3">
      <c r="A2" s="2" t="s">
        <v>70</v>
      </c>
      <c r="B2" s="92" t="s">
        <v>113</v>
      </c>
      <c r="C2" s="93"/>
      <c r="D2" s="92" t="s">
        <v>114</v>
      </c>
      <c r="E2" s="93"/>
      <c r="F2" s="92" t="s">
        <v>115</v>
      </c>
      <c r="G2" s="93"/>
      <c r="H2" s="94" t="s">
        <v>116</v>
      </c>
      <c r="I2" s="95"/>
      <c r="J2" s="92" t="s">
        <v>71</v>
      </c>
      <c r="K2" s="9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x14ac:dyDescent="0.3">
      <c r="A4" s="5" t="s">
        <v>72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 x14ac:dyDescent="0.3">
      <c r="A5" s="3" t="s">
        <v>73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 x14ac:dyDescent="0.3">
      <c r="A6" s="3" t="s">
        <v>74</v>
      </c>
      <c r="B6" s="6"/>
      <c r="C6" s="9" t="s">
        <v>68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 x14ac:dyDescent="0.3">
      <c r="A7" s="3" t="s">
        <v>75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 x14ac:dyDescent="0.3">
      <c r="A8" s="3" t="s">
        <v>76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 x14ac:dyDescent="0.3">
      <c r="A9" s="3" t="s">
        <v>77</v>
      </c>
      <c r="B9" s="6"/>
      <c r="C9" s="9" t="s">
        <v>68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 x14ac:dyDescent="0.3">
      <c r="A10" s="3" t="s">
        <v>75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 x14ac:dyDescent="0.3">
      <c r="A11" s="3" t="s">
        <v>78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 x14ac:dyDescent="0.3">
      <c r="A12" s="3" t="s">
        <v>10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 x14ac:dyDescent="0.3">
      <c r="A13" s="3" t="s">
        <v>79</v>
      </c>
      <c r="B13" s="6"/>
      <c r="C13" s="9" t="s">
        <v>68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 x14ac:dyDescent="0.3">
      <c r="A14" s="3" t="s">
        <v>75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 x14ac:dyDescent="0.3">
      <c r="A15" s="3" t="s">
        <v>80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 x14ac:dyDescent="0.3">
      <c r="A16" s="3" t="s">
        <v>14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 x14ac:dyDescent="0.3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 x14ac:dyDescent="0.3">
      <c r="A18" s="5" t="s">
        <v>81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 x14ac:dyDescent="0.3">
      <c r="A19" s="3" t="s">
        <v>82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 x14ac:dyDescent="0.3">
      <c r="A20" s="3" t="s">
        <v>63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 x14ac:dyDescent="0.3">
      <c r="A21" s="3" t="s">
        <v>83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 x14ac:dyDescent="0.3">
      <c r="A22" s="3" t="s">
        <v>84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 x14ac:dyDescent="0.3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 x14ac:dyDescent="0.3">
      <c r="A24" s="5" t="s">
        <v>85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 x14ac:dyDescent="0.3">
      <c r="A25" s="3" t="s">
        <v>86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 x14ac:dyDescent="0.3">
      <c r="A26" s="3" t="s">
        <v>60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 x14ac:dyDescent="0.3">
      <c r="A27" s="3" t="s">
        <v>87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 x14ac:dyDescent="0.3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 x14ac:dyDescent="0.3">
      <c r="A29" s="3" t="s">
        <v>88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 x14ac:dyDescent="0.3">
      <c r="A30" s="3" t="s">
        <v>62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 x14ac:dyDescent="0.3">
      <c r="A31" s="3" t="s">
        <v>89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 x14ac:dyDescent="0.3">
      <c r="A32" s="3" t="s">
        <v>90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 x14ac:dyDescent="0.3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 x14ac:dyDescent="0.3">
      <c r="A34" s="3" t="s">
        <v>91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 x14ac:dyDescent="0.3">
      <c r="A35" s="3" t="s">
        <v>44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 x14ac:dyDescent="0.3">
      <c r="A36" s="3" t="s">
        <v>92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 x14ac:dyDescent="0.3">
      <c r="A37" s="3" t="s">
        <v>93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 x14ac:dyDescent="0.3">
      <c r="A38" s="3" t="s">
        <v>94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 x14ac:dyDescent="0.3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 x14ac:dyDescent="0.3">
      <c r="A40" s="5" t="s">
        <v>95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 x14ac:dyDescent="0.3">
      <c r="A41" s="3" t="s">
        <v>96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 x14ac:dyDescent="0.3">
      <c r="A42" s="3" t="s">
        <v>97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 x14ac:dyDescent="0.3">
      <c r="A43" s="3" t="s">
        <v>98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 x14ac:dyDescent="0.3">
      <c r="A44" s="3" t="s">
        <v>99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 x14ac:dyDescent="0.3">
      <c r="A45" s="3" t="s">
        <v>100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 x14ac:dyDescent="0.3">
      <c r="A46" s="3" t="s">
        <v>101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 x14ac:dyDescent="0.3">
      <c r="A47" s="3" t="s">
        <v>6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 x14ac:dyDescent="0.3">
      <c r="A48" s="3" t="s">
        <v>102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 x14ac:dyDescent="0.3">
      <c r="A49" s="3" t="s">
        <v>103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 x14ac:dyDescent="0.3">
      <c r="A50" s="3" t="s">
        <v>104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 x14ac:dyDescent="0.3">
      <c r="A51" s="3" t="s">
        <v>105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 x14ac:dyDescent="0.3">
      <c r="A52" s="3" t="s">
        <v>106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 x14ac:dyDescent="0.3">
      <c r="A53" s="3" t="s">
        <v>107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 x14ac:dyDescent="0.3">
      <c r="A54" s="3" t="s">
        <v>108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 x14ac:dyDescent="0.3">
      <c r="A55" s="3" t="s">
        <v>109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 x14ac:dyDescent="0.3">
      <c r="A56" s="3" t="s">
        <v>110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 x14ac:dyDescent="0.3">
      <c r="A57" s="3" t="s">
        <v>101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 x14ac:dyDescent="0.3">
      <c r="A58" s="3" t="s">
        <v>111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 x14ac:dyDescent="0.3">
      <c r="A59" s="28" t="s">
        <v>112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DELL</cp:lastModifiedBy>
  <cp:lastPrinted>2024-03-06T13:13:44Z</cp:lastPrinted>
  <dcterms:created xsi:type="dcterms:W3CDTF">2022-02-14T05:39:32Z</dcterms:created>
  <dcterms:modified xsi:type="dcterms:W3CDTF">2026-06-03T11:18:41Z</dcterms:modified>
</cp:coreProperties>
</file>