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A98EC77-CD9D-4FA5-8904-07E8387E02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5" r:id="rId1"/>
    <sheet name="Peer working" sheetId="3" state="hidden" r:id="rId2"/>
    <sheet name="Peer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9" i="5" l="1"/>
  <c r="I62" i="5"/>
  <c r="I57" i="5"/>
  <c r="I50" i="5"/>
  <c r="I41" i="5"/>
  <c r="I40" i="5"/>
  <c r="I11" i="5"/>
  <c r="S82" i="5"/>
  <c r="S72" i="5"/>
  <c r="S52" i="5"/>
  <c r="S24" i="5"/>
  <c r="I27" i="5" l="1"/>
  <c r="S8" i="5"/>
  <c r="S70" i="5" s="1"/>
  <c r="S73" i="5" s="1"/>
  <c r="S60" i="5"/>
  <c r="S47" i="5"/>
  <c r="S30" i="5"/>
  <c r="S21" i="5"/>
  <c r="S12" i="5"/>
  <c r="I64" i="5"/>
  <c r="H64" i="5"/>
  <c r="I56" i="5"/>
  <c r="I58" i="5" s="1"/>
  <c r="I17" i="5"/>
  <c r="I8" i="5"/>
  <c r="I63" i="5" l="1"/>
  <c r="S77" i="5"/>
  <c r="S78" i="5"/>
  <c r="I23" i="5"/>
  <c r="I9" i="5"/>
  <c r="S63" i="5"/>
  <c r="I65" i="5"/>
  <c r="S74" i="5" s="1"/>
  <c r="S31" i="5"/>
  <c r="S61" i="5"/>
  <c r="I26" i="5"/>
  <c r="I32" i="5" s="1"/>
  <c r="S75" i="5" s="1"/>
  <c r="I20" i="5"/>
  <c r="S13" i="5"/>
  <c r="S76" i="5" s="1"/>
  <c r="R69" i="5"/>
  <c r="H8" i="5"/>
  <c r="N82" i="5"/>
  <c r="O82" i="5"/>
  <c r="P82" i="5"/>
  <c r="Q82" i="5"/>
  <c r="M82" i="5"/>
  <c r="R82" i="5"/>
  <c r="H57" i="5"/>
  <c r="R24" i="5"/>
  <c r="Q24" i="5"/>
  <c r="Q52" i="5"/>
  <c r="R80" i="5" s="1"/>
  <c r="R52" i="5"/>
  <c r="S80" i="5" s="1"/>
  <c r="R79" i="5"/>
  <c r="R21" i="5"/>
  <c r="R12" i="5"/>
  <c r="S85" i="5" s="1"/>
  <c r="H41" i="5"/>
  <c r="H40" i="5"/>
  <c r="H27" i="5"/>
  <c r="H11" i="5"/>
  <c r="H17" i="5" s="1"/>
  <c r="I18" i="5" s="1"/>
  <c r="R30" i="5" l="1"/>
  <c r="S81" i="5"/>
  <c r="S83" i="5" s="1"/>
  <c r="I33" i="5"/>
  <c r="I36" i="5"/>
  <c r="I31" i="5"/>
  <c r="R81" i="5"/>
  <c r="R83" i="5" s="1"/>
  <c r="H20" i="5"/>
  <c r="H23" i="5"/>
  <c r="H26" i="5" s="1"/>
  <c r="H32" i="5" s="1"/>
  <c r="R60" i="5"/>
  <c r="R47" i="5"/>
  <c r="R8" i="5"/>
  <c r="R78" i="5" s="1"/>
  <c r="H62" i="5"/>
  <c r="H56" i="5"/>
  <c r="H58" i="5" s="1"/>
  <c r="H50" i="5"/>
  <c r="S14" i="5" l="1"/>
  <c r="S64" i="5"/>
  <c r="H33" i="5"/>
  <c r="H36" i="5"/>
  <c r="I37" i="5" s="1"/>
  <c r="R70" i="5"/>
  <c r="R73" i="5" s="1"/>
  <c r="R31" i="5"/>
  <c r="R13" i="5"/>
  <c r="R76" i="5" s="1"/>
  <c r="R75" i="5"/>
  <c r="H31" i="5"/>
  <c r="R77" i="5"/>
  <c r="R63" i="5"/>
  <c r="R14" i="5" s="1"/>
  <c r="R61" i="5"/>
  <c r="S84" i="5" s="1"/>
  <c r="H63" i="5"/>
  <c r="H65" i="5" s="1"/>
  <c r="R74" i="5" s="1"/>
  <c r="R64" i="5" l="1"/>
  <c r="G56" i="5"/>
  <c r="F56" i="5"/>
  <c r="E56" i="5"/>
  <c r="D56" i="5"/>
  <c r="C56" i="5"/>
  <c r="G57" i="5"/>
  <c r="F57" i="5"/>
  <c r="E57" i="5"/>
  <c r="D57" i="5"/>
  <c r="C57" i="5"/>
  <c r="N79" i="5"/>
  <c r="O79" i="5"/>
  <c r="P79" i="5"/>
  <c r="Q79" i="5"/>
  <c r="M79" i="5"/>
  <c r="D64" i="5"/>
  <c r="E64" i="5"/>
  <c r="F64" i="5"/>
  <c r="G64" i="5"/>
  <c r="C64" i="5"/>
  <c r="C58" i="5" l="1"/>
  <c r="D58" i="5"/>
  <c r="E58" i="5"/>
  <c r="F58" i="5"/>
  <c r="G58" i="5"/>
  <c r="O52" i="5"/>
  <c r="O60" i="5" s="1"/>
  <c r="O47" i="5"/>
  <c r="E27" i="5" l="1"/>
  <c r="F27" i="5"/>
  <c r="G27" i="5"/>
  <c r="F41" i="5"/>
  <c r="M47" i="5" l="1"/>
  <c r="M24" i="5"/>
  <c r="N24" i="5"/>
  <c r="N47" i="5"/>
  <c r="O24" i="5"/>
  <c r="O81" i="5" l="1"/>
  <c r="M81" i="5"/>
  <c r="N81" i="5"/>
  <c r="O21" i="5"/>
  <c r="P52" i="5"/>
  <c r="P47" i="5"/>
  <c r="P24" i="5"/>
  <c r="Q81" i="5" s="1"/>
  <c r="Q47" i="5"/>
  <c r="C50" i="5"/>
  <c r="C52" i="5" s="1"/>
  <c r="D46" i="5" s="1"/>
  <c r="F50" i="5"/>
  <c r="E50" i="5"/>
  <c r="D50" i="5"/>
  <c r="G11" i="5"/>
  <c r="G17" i="5" s="1"/>
  <c r="H18" i="5" s="1"/>
  <c r="G8" i="5"/>
  <c r="H9" i="5" s="1"/>
  <c r="G40" i="5"/>
  <c r="G41" i="5"/>
  <c r="F40" i="5"/>
  <c r="F11" i="5"/>
  <c r="F17" i="5" s="1"/>
  <c r="I19" i="5" s="1"/>
  <c r="F8" i="5"/>
  <c r="I10" i="5" s="1"/>
  <c r="P21" i="5"/>
  <c r="O80" i="5"/>
  <c r="N80" i="5"/>
  <c r="M80" i="5"/>
  <c r="G62" i="5"/>
  <c r="F62" i="5"/>
  <c r="E62" i="5"/>
  <c r="D62" i="5"/>
  <c r="C62" i="5"/>
  <c r="Q69" i="5"/>
  <c r="P69" i="5"/>
  <c r="O69" i="5"/>
  <c r="O72" i="5" s="1"/>
  <c r="N69" i="5"/>
  <c r="N72" i="5" s="1"/>
  <c r="M69" i="5"/>
  <c r="M72" i="5" s="1"/>
  <c r="L61" i="5"/>
  <c r="N60" i="5"/>
  <c r="M60" i="5"/>
  <c r="L60" i="5"/>
  <c r="G50" i="5"/>
  <c r="L47" i="5"/>
  <c r="E40" i="5"/>
  <c r="D40" i="5"/>
  <c r="N30" i="5"/>
  <c r="M30" i="5"/>
  <c r="L30" i="5"/>
  <c r="O30" i="5"/>
  <c r="O61" i="5" s="1"/>
  <c r="Q21" i="5"/>
  <c r="N21" i="5"/>
  <c r="M21" i="5"/>
  <c r="L21" i="5"/>
  <c r="Q12" i="5"/>
  <c r="P12" i="5"/>
  <c r="O12" i="5"/>
  <c r="P85" i="5" s="1"/>
  <c r="N12" i="5"/>
  <c r="M12" i="5"/>
  <c r="L12" i="5"/>
  <c r="E11" i="5"/>
  <c r="E17" i="5" s="1"/>
  <c r="H19" i="5" s="1"/>
  <c r="D11" i="5"/>
  <c r="D17" i="5" s="1"/>
  <c r="C11" i="5"/>
  <c r="C17" i="5" s="1"/>
  <c r="Q8" i="5"/>
  <c r="Q13" i="5" s="1"/>
  <c r="P8" i="5"/>
  <c r="O8" i="5"/>
  <c r="N8" i="5"/>
  <c r="M8" i="5"/>
  <c r="M13" i="5" s="1"/>
  <c r="L8" i="5"/>
  <c r="L13" i="5" s="1"/>
  <c r="E8" i="5"/>
  <c r="D8" i="5"/>
  <c r="C8" i="5"/>
  <c r="O85" i="5" l="1"/>
  <c r="N85" i="5"/>
  <c r="P80" i="5"/>
  <c r="Q80" i="5"/>
  <c r="M85" i="5"/>
  <c r="R85" i="5"/>
  <c r="Q85" i="5"/>
  <c r="Q72" i="5"/>
  <c r="R72" i="5"/>
  <c r="Q76" i="5"/>
  <c r="P60" i="5"/>
  <c r="P63" i="5" s="1"/>
  <c r="P30" i="5"/>
  <c r="P31" i="5" s="1"/>
  <c r="P81" i="5"/>
  <c r="M61" i="5"/>
  <c r="M84" i="5" s="1"/>
  <c r="E18" i="5"/>
  <c r="E20" i="5"/>
  <c r="E23" i="5"/>
  <c r="E26" i="5" s="1"/>
  <c r="E32" i="5" s="1"/>
  <c r="E33" i="5" s="1"/>
  <c r="P78" i="5"/>
  <c r="P77" i="5"/>
  <c r="F63" i="5"/>
  <c r="F65" i="5" s="1"/>
  <c r="N61" i="5"/>
  <c r="O84" i="5" s="1"/>
  <c r="O77" i="5"/>
  <c r="E63" i="5"/>
  <c r="E65" i="5" s="1"/>
  <c r="O78" i="5"/>
  <c r="C23" i="5"/>
  <c r="C20" i="5"/>
  <c r="C63" i="5"/>
  <c r="C65" i="5" s="1"/>
  <c r="M77" i="5"/>
  <c r="M78" i="5"/>
  <c r="G63" i="5"/>
  <c r="G65" i="5" s="1"/>
  <c r="Q78" i="5"/>
  <c r="Q77" i="5"/>
  <c r="G23" i="5"/>
  <c r="G20" i="5"/>
  <c r="D23" i="5"/>
  <c r="D26" i="5" s="1"/>
  <c r="D18" i="5"/>
  <c r="D20" i="5"/>
  <c r="D63" i="5"/>
  <c r="D65" i="5" s="1"/>
  <c r="N78" i="5"/>
  <c r="N77" i="5"/>
  <c r="F20" i="5"/>
  <c r="F23" i="5"/>
  <c r="G18" i="5"/>
  <c r="D52" i="5"/>
  <c r="N70" i="5"/>
  <c r="N73" i="5" s="1"/>
  <c r="N13" i="5"/>
  <c r="O70" i="5"/>
  <c r="O73" i="5" s="1"/>
  <c r="O13" i="5"/>
  <c r="P70" i="5"/>
  <c r="P73" i="5" s="1"/>
  <c r="P13" i="5"/>
  <c r="P76" i="5" s="1"/>
  <c r="Q60" i="5"/>
  <c r="F9" i="5"/>
  <c r="G9" i="5"/>
  <c r="F10" i="5"/>
  <c r="L63" i="5"/>
  <c r="L14" i="5" s="1"/>
  <c r="M63" i="5"/>
  <c r="O63" i="5"/>
  <c r="N63" i="5"/>
  <c r="M31" i="5"/>
  <c r="N31" i="5"/>
  <c r="D9" i="5"/>
  <c r="M70" i="5"/>
  <c r="M73" i="5" s="1"/>
  <c r="Q70" i="5"/>
  <c r="Q73" i="5" s="1"/>
  <c r="Q30" i="5"/>
  <c r="E9" i="5"/>
  <c r="O31" i="5"/>
  <c r="L31" i="5"/>
  <c r="P72" i="5"/>
  <c r="G10" i="5" l="1"/>
  <c r="H10" i="5"/>
  <c r="P61" i="5"/>
  <c r="P84" i="5" s="1"/>
  <c r="M14" i="5"/>
  <c r="M64" i="5"/>
  <c r="P64" i="5"/>
  <c r="N14" i="5"/>
  <c r="N64" i="5"/>
  <c r="O14" i="5"/>
  <c r="O64" i="5"/>
  <c r="P14" i="5"/>
  <c r="M83" i="5"/>
  <c r="E46" i="5"/>
  <c r="E52" i="5" s="1"/>
  <c r="F46" i="5" s="1"/>
  <c r="F52" i="5" s="1"/>
  <c r="Q63" i="5"/>
  <c r="Q61" i="5"/>
  <c r="R84" i="5" s="1"/>
  <c r="N84" i="5"/>
  <c r="N83" i="5"/>
  <c r="M76" i="5"/>
  <c r="O76" i="5"/>
  <c r="N76" i="5"/>
  <c r="O83" i="5"/>
  <c r="C26" i="5"/>
  <c r="F18" i="5"/>
  <c r="Q74" i="5"/>
  <c r="M74" i="5"/>
  <c r="Q83" i="5"/>
  <c r="G19" i="5"/>
  <c r="G26" i="5"/>
  <c r="G32" i="5" s="1"/>
  <c r="G33" i="5" s="1"/>
  <c r="F19" i="5"/>
  <c r="P74" i="5"/>
  <c r="Q31" i="5"/>
  <c r="N74" i="5"/>
  <c r="P83" i="5"/>
  <c r="O74" i="5"/>
  <c r="Q84" i="5" l="1"/>
  <c r="Q14" i="5"/>
  <c r="Q64" i="5"/>
  <c r="G46" i="5"/>
  <c r="G52" i="5" s="1"/>
  <c r="H46" i="5" s="1"/>
  <c r="H52" i="5" s="1"/>
  <c r="I46" i="5" s="1"/>
  <c r="I52" i="5" s="1"/>
  <c r="G31" i="5"/>
  <c r="G36" i="5"/>
  <c r="H37" i="5" s="1"/>
  <c r="F31" i="5"/>
  <c r="F26" i="5"/>
  <c r="F32" i="5" s="1"/>
  <c r="F33" i="5" s="1"/>
  <c r="Q75" i="5"/>
  <c r="E31" i="5"/>
  <c r="F36" i="5" l="1"/>
  <c r="P75" i="5"/>
  <c r="O75" i="5"/>
  <c r="E36" i="5"/>
  <c r="H38" i="5" s="1"/>
  <c r="G37" i="5" l="1"/>
  <c r="I38" i="5"/>
  <c r="F37" i="5"/>
  <c r="K18" i="3" l="1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B7" i="3" l="1"/>
  <c r="I5" i="3" l="1"/>
  <c r="I9" i="3"/>
  <c r="I11" i="3"/>
  <c r="I10" i="3"/>
  <c r="I18" i="3" l="1"/>
  <c r="I17" i="3" l="1"/>
  <c r="I20" i="3" s="1"/>
  <c r="B9" i="3" l="1"/>
  <c r="B11" i="3" l="1"/>
  <c r="B12" i="3"/>
  <c r="B13" i="3" l="1"/>
  <c r="B22" i="3"/>
  <c r="B21" i="3"/>
  <c r="B24" i="3" l="1"/>
  <c r="B25" i="3"/>
  <c r="B26" i="3" l="1"/>
  <c r="D27" i="5" l="1"/>
  <c r="D31" i="5" s="1"/>
  <c r="D32" i="5" l="1"/>
  <c r="D33" i="5" s="1"/>
  <c r="D36" i="5" l="1"/>
  <c r="N75" i="5"/>
  <c r="G38" i="5" l="1"/>
  <c r="E37" i="5"/>
  <c r="C27" i="5"/>
  <c r="C31" i="5" s="1"/>
  <c r="C32" i="5" l="1"/>
  <c r="C33" i="5" s="1"/>
  <c r="C36" i="5" l="1"/>
  <c r="M75" i="5"/>
  <c r="F38" i="5" l="1"/>
  <c r="D37" i="5"/>
</calcChain>
</file>

<file path=xl/sharedStrings.xml><?xml version="1.0" encoding="utf-8"?>
<sst xmlns="http://schemas.openxmlformats.org/spreadsheetml/2006/main" count="326" uniqueCount="203">
  <si>
    <t>Income Statement</t>
  </si>
  <si>
    <t>Y/E, Mar (Rs. mn)</t>
  </si>
  <si>
    <t>FY20</t>
  </si>
  <si>
    <t>Income</t>
  </si>
  <si>
    <t>Growth (%)</t>
  </si>
  <si>
    <t>CAGR (%) - 3 Years</t>
  </si>
  <si>
    <t>Expenditure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</si>
  <si>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</si>
  <si>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</si>
  <si>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</si>
  <si>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</si>
  <si>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</si>
  <si>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</si>
  <si>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</si>
  <si>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</si>
  <si>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</si>
  <si>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</si>
  <si>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</si>
  <si>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CAGR (%)</t>
  </si>
  <si>
    <t>EPS</t>
  </si>
  <si>
    <t>Y/E, Mar (Rs. Mn)</t>
  </si>
  <si>
    <t>Purchase of stock-in-trade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</si>
  <si>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</si>
  <si>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</si>
  <si>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</si>
  <si>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</si>
  <si>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</si>
  <si>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</si>
  <si>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</si>
  <si>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</si>
  <si>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</si>
  <si>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</si>
  <si>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</si>
  <si>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</si>
  <si>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</si>
  <si>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</si>
  <si>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</si>
  <si>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</si>
  <si>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</si>
  <si>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</si>
  <si>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</si>
  <si>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</si>
  <si>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</si>
  <si>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</si>
  <si>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</si>
  <si>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</si>
  <si>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</si>
  <si>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</si>
  <si>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</si>
  <si>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</si>
  <si>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</si>
  <si>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</si>
  <si>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</si>
  <si>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</si>
  <si>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</si>
  <si>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</si>
  <si>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</si>
  <si>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</si>
  <si>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</si>
  <si>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</si>
  <si>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</si>
  <si>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</si>
  <si>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</si>
  <si>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</si>
  <si>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</si>
  <si>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</si>
  <si>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</si>
  <si>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</si>
  <si>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</si>
  <si>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</si>
  <si>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</si>
  <si>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</si>
  <si>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</si>
  <si>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</si>
  <si>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</si>
  <si>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</si>
  <si>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</si>
  <si>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</si>
  <si>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</si>
  <si>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</si>
  <si>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</si>
  <si>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</si>
  <si>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</si>
  <si>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</si>
  <si>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</si>
  <si>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</si>
  <si>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</si>
  <si>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</si>
  <si>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</si>
  <si>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</si>
  <si>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</si>
  <si>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</si>
  <si>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</si>
  <si>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</si>
  <si>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</si>
  <si>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</si>
  <si>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</si>
  <si>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</si>
  <si>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</si>
  <si>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</si>
  <si>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</si>
  <si>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</si>
  <si>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</si>
  <si>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</si>
  <si>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</si>
  <si>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</si>
  <si>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</si>
  <si>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</si>
  <si>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</si>
  <si>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</si>
  <si>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</si>
  <si>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</si>
  <si>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</si>
  <si>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</si>
  <si>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</si>
  <si>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</si>
  <si>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</si>
  <si>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</si>
  <si>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</si>
  <si>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</si>
  <si>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</si>
  <si>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</si>
  <si>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</si>
  <si>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</si>
  <si>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</si>
  <si>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</si>
  <si>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</si>
  <si>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</si>
  <si>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</si>
  <si>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</si>
  <si>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</si>
  <si>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</si>
  <si>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</si>
  <si>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</si>
  <si>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</si>
  <si>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</si>
  <si>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</si>
  <si>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</si>
  <si>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</si>
  <si>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</si>
  <si>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</si>
  <si>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</si>
  <si>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</si>
  <si>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</si>
  <si>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</si>
  <si>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</si>
  <si>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</si>
  <si>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</si>
  <si>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</si>
  <si>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</si>
  <si>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</si>
  <si>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</si>
  <si>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</si>
  <si>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</si>
  <si>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</si>
  <si>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</si>
  <si>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</si>
  <si>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</si>
  <si>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</si>
  <si>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</si>
  <si>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</si>
  <si>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</si>
  <si>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</si>
  <si>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(v) Loans</t>
  </si>
  <si>
    <t>FY23</t>
  </si>
  <si>
    <t>FY24</t>
  </si>
  <si>
    <t xml:space="preserve">FY24 </t>
  </si>
  <si>
    <t xml:space="preserve">Ceinsys Tech Ltd. </t>
  </si>
  <si>
    <t>Changes in Inventory of Stock in Trade</t>
  </si>
  <si>
    <t>Project and other operating expenses</t>
  </si>
  <si>
    <t>Income Tax for earlier years</t>
  </si>
  <si>
    <t>Profit before share of profit of JV, Exceptional Items and Tax</t>
  </si>
  <si>
    <t>Share of Profit of JV</t>
  </si>
  <si>
    <t>Exceptional Items</t>
  </si>
  <si>
    <t xml:space="preserve">Total Comprehensive Income </t>
  </si>
  <si>
    <t>Pursuate to Acquisition of subsidiary</t>
  </si>
  <si>
    <t>Assets Held for Sale</t>
  </si>
  <si>
    <t>(vi) Unbilled Revenue</t>
  </si>
  <si>
    <t>(vii) Other current financial assets</t>
  </si>
  <si>
    <t>CAGR (%)- 3 year</t>
  </si>
  <si>
    <t>(iii) Cash and cash equivalents</t>
  </si>
  <si>
    <t>(iv) Bank balances other than (iii) above</t>
  </si>
  <si>
    <t xml:space="preserve">(iii) Trade Receivables </t>
  </si>
  <si>
    <t>(i) Trade Payables</t>
  </si>
  <si>
    <t>(ii) Other Financial Liabilities</t>
  </si>
  <si>
    <t>(iii) Lease liabilities</t>
  </si>
  <si>
    <t>(i) Lease liabilities</t>
  </si>
  <si>
    <t>Check</t>
  </si>
  <si>
    <t>Diluted EPS</t>
  </si>
  <si>
    <t>FY25</t>
  </si>
  <si>
    <t>(B) Capital Work-in-Progress</t>
  </si>
  <si>
    <t>(C) Investment Property</t>
  </si>
  <si>
    <t>(D) Goodwill on Consolidation</t>
  </si>
  <si>
    <t>(E) Other Intangible Assets</t>
  </si>
  <si>
    <t>(F) Financial assets</t>
  </si>
  <si>
    <t>(G) Long term loans and advances</t>
  </si>
  <si>
    <t>(H) Other non-current assets</t>
  </si>
  <si>
    <t>(I) Non-current tax assets (Net)</t>
  </si>
  <si>
    <t>(J) Deffered Tax Assets (Net)</t>
  </si>
  <si>
    <t>-</t>
  </si>
  <si>
    <t>(E) Other Intangible Assets Under Development</t>
  </si>
  <si>
    <t>TTM EPS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</si>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</sst>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6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4" fontId="0" fillId="3" borderId="1" xfId="2" applyNumberFormat="1" applyFont="1" applyFill="1" applyBorder="1" applyAlignment="1">
      <alignment vertical="top"/>
    </xf>
    <xf numFmtId="164" fontId="0" fillId="3" borderId="1" xfId="2" applyNumberFormat="1" applyFont="1" applyFill="1" applyBorder="1" applyAlignment="1">
      <alignment horizontal="right" vertical="top"/>
    </xf>
    <xf numFmtId="165" fontId="3" fillId="0" borderId="1" xfId="3" applyNumberFormat="1" applyFont="1" applyBorder="1"/>
    <xf numFmtId="165" fontId="3" fillId="3" borderId="1" xfId="3" applyNumberFormat="1" applyFont="1" applyFill="1" applyBorder="1"/>
    <xf numFmtId="165" fontId="3" fillId="3" borderId="7" xfId="3" applyNumberFormat="1" applyFont="1" applyFill="1" applyBorder="1"/>
    <xf numFmtId="165" fontId="3" fillId="0" borderId="1" xfId="3" applyNumberFormat="1" applyFont="1" applyFill="1" applyBorder="1"/>
    <xf numFmtId="165" fontId="3" fillId="0" borderId="9" xfId="3" applyNumberFormat="1" applyFont="1" applyFill="1" applyBorder="1"/>
    <xf numFmtId="165" fontId="3" fillId="3" borderId="15" xfId="3" applyNumberFormat="1" applyFont="1" applyFill="1" applyBorder="1"/>
    <xf numFmtId="165" fontId="7" fillId="2" borderId="4" xfId="3" applyNumberFormat="1" applyFont="1" applyFill="1" applyBorder="1"/>
    <xf numFmtId="165" fontId="3" fillId="2" borderId="8" xfId="3" applyNumberFormat="1" applyFont="1" applyFill="1" applyBorder="1" applyAlignment="1">
      <alignment horizontal="center"/>
    </xf>
    <xf numFmtId="165" fontId="3" fillId="0" borderId="5" xfId="3" applyNumberFormat="1" applyFont="1" applyBorder="1"/>
    <xf numFmtId="165" fontId="9" fillId="0" borderId="1" xfId="3" applyNumberFormat="1" applyFont="1" applyBorder="1" applyAlignment="1">
      <alignment horizontal="right" vertical="center"/>
    </xf>
    <xf numFmtId="165" fontId="3" fillId="3" borderId="5" xfId="3" applyNumberFormat="1" applyFont="1" applyFill="1" applyBorder="1"/>
    <xf numFmtId="165" fontId="5" fillId="3" borderId="5" xfId="3" applyNumberFormat="1" applyFont="1" applyFill="1" applyBorder="1"/>
    <xf numFmtId="165" fontId="6" fillId="3" borderId="1" xfId="3" applyNumberFormat="1" applyFont="1" applyFill="1" applyBorder="1" applyAlignment="1">
      <alignment horizontal="right"/>
    </xf>
    <xf numFmtId="165" fontId="8" fillId="0" borderId="5" xfId="3" applyNumberFormat="1" applyFont="1" applyBorder="1"/>
    <xf numFmtId="165" fontId="3" fillId="3" borderId="6" xfId="3" applyNumberFormat="1" applyFont="1" applyFill="1" applyBorder="1"/>
    <xf numFmtId="165" fontId="9" fillId="0" borderId="6" xfId="3" applyNumberFormat="1" applyFont="1" applyBorder="1"/>
    <xf numFmtId="9" fontId="6" fillId="3" borderId="1" xfId="3" applyNumberFormat="1" applyFont="1" applyFill="1" applyBorder="1" applyAlignment="1">
      <alignment horizontal="right"/>
    </xf>
    <xf numFmtId="9" fontId="6" fillId="3" borderId="1" xfId="2" applyFont="1" applyFill="1" applyBorder="1" applyAlignment="1">
      <alignment horizontal="right"/>
    </xf>
    <xf numFmtId="9" fontId="6" fillId="3" borderId="1" xfId="2" applyFont="1" applyFill="1" applyBorder="1"/>
    <xf numFmtId="9" fontId="6" fillId="3" borderId="7" xfId="2" applyFont="1" applyFill="1" applyBorder="1" applyAlignment="1">
      <alignment horizontal="right"/>
    </xf>
    <xf numFmtId="165" fontId="2" fillId="3" borderId="1" xfId="3" applyNumberFormat="1" applyFont="1" applyFill="1" applyBorder="1"/>
    <xf numFmtId="43" fontId="3" fillId="0" borderId="1" xfId="3" applyFont="1" applyBorder="1"/>
    <xf numFmtId="166" fontId="9" fillId="3" borderId="1" xfId="3" applyNumberFormat="1" applyFont="1" applyFill="1" applyBorder="1"/>
    <xf numFmtId="165" fontId="3" fillId="0" borderId="4" xfId="3" applyNumberFormat="1" applyFont="1" applyBorder="1"/>
    <xf numFmtId="165" fontId="3" fillId="0" borderId="8" xfId="3" applyNumberFormat="1" applyFont="1" applyBorder="1" applyAlignment="1">
      <alignment horizontal="center"/>
    </xf>
    <xf numFmtId="165" fontId="3" fillId="0" borderId="5" xfId="3" applyNumberFormat="1" applyFont="1" applyFill="1" applyBorder="1"/>
    <xf numFmtId="165" fontId="2" fillId="0" borderId="5" xfId="3" applyNumberFormat="1" applyFont="1" applyBorder="1"/>
    <xf numFmtId="165" fontId="2" fillId="0" borderId="1" xfId="3" applyNumberFormat="1" applyFont="1" applyBorder="1"/>
    <xf numFmtId="165" fontId="9" fillId="0" borderId="1" xfId="3" applyNumberFormat="1" applyFont="1" applyFill="1" applyBorder="1"/>
    <xf numFmtId="165" fontId="2" fillId="0" borderId="0" xfId="3" applyNumberFormat="1" applyFont="1"/>
    <xf numFmtId="165" fontId="2" fillId="0" borderId="9" xfId="3" applyNumberFormat="1" applyFont="1" applyBorder="1"/>
    <xf numFmtId="165" fontId="2" fillId="0" borderId="1" xfId="3" applyNumberFormat="1" applyFont="1" applyFill="1" applyBorder="1"/>
    <xf numFmtId="165" fontId="2" fillId="0" borderId="9" xfId="3" applyNumberFormat="1" applyFont="1" applyFill="1" applyBorder="1"/>
    <xf numFmtId="165" fontId="2" fillId="0" borderId="0" xfId="3" applyNumberFormat="1" applyFont="1" applyBorder="1"/>
    <xf numFmtId="165" fontId="2" fillId="3" borderId="5" xfId="3" applyNumberFormat="1" applyFont="1" applyFill="1" applyBorder="1" applyAlignment="1">
      <alignment horizontal="left"/>
    </xf>
    <xf numFmtId="9" fontId="2" fillId="3" borderId="1" xfId="2" applyFont="1" applyFill="1" applyBorder="1"/>
    <xf numFmtId="165" fontId="2" fillId="3" borderId="5" xfId="3" applyNumberFormat="1" applyFont="1" applyFill="1" applyBorder="1"/>
    <xf numFmtId="165" fontId="2" fillId="0" borderId="5" xfId="3" applyNumberFormat="1" applyFont="1" applyFill="1" applyBorder="1"/>
    <xf numFmtId="165" fontId="2" fillId="3" borderId="6" xfId="3" applyNumberFormat="1" applyFont="1" applyFill="1" applyBorder="1"/>
    <xf numFmtId="165" fontId="2" fillId="3" borderId="7" xfId="3" applyNumberFormat="1" applyFont="1" applyFill="1" applyBorder="1"/>
    <xf numFmtId="165" fontId="2" fillId="0" borderId="6" xfId="3" applyNumberFormat="1" applyFont="1" applyBorder="1"/>
    <xf numFmtId="165" fontId="2" fillId="0" borderId="7" xfId="3" applyNumberFormat="1" applyFont="1" applyBorder="1"/>
    <xf numFmtId="166" fontId="2" fillId="3" borderId="1" xfId="3" applyNumberFormat="1" applyFont="1" applyFill="1" applyBorder="1"/>
    <xf numFmtId="166" fontId="2" fillId="0" borderId="1" xfId="3" applyNumberFormat="1" applyFont="1" applyBorder="1"/>
    <xf numFmtId="9" fontId="2" fillId="0" borderId="1" xfId="2" applyFont="1" applyBorder="1"/>
    <xf numFmtId="43" fontId="11" fillId="8" borderId="1" xfId="3" applyFont="1" applyFill="1" applyBorder="1" applyAlignment="1">
      <alignment horizontal="right" vertical="center" wrapText="1" indent="1"/>
    </xf>
    <xf numFmtId="43" fontId="11" fillId="0" borderId="1" xfId="3" applyFont="1" applyBorder="1"/>
    <xf numFmtId="166" fontId="11" fillId="0" borderId="1" xfId="3" applyNumberFormat="1" applyFont="1" applyBorder="1"/>
    <xf numFmtId="165" fontId="2" fillId="0" borderId="13" xfId="3" applyNumberFormat="1" applyFont="1" applyFill="1" applyBorder="1"/>
    <xf numFmtId="165" fontId="3" fillId="3" borderId="13" xfId="3" applyNumberFormat="1" applyFont="1" applyFill="1" applyBorder="1"/>
    <xf numFmtId="9" fontId="6" fillId="3" borderId="13" xfId="3" applyNumberFormat="1" applyFont="1" applyFill="1" applyBorder="1" applyAlignment="1">
      <alignment horizontal="right"/>
    </xf>
    <xf numFmtId="9" fontId="6" fillId="3" borderId="13" xfId="2" applyFont="1" applyFill="1" applyBorder="1" applyAlignment="1">
      <alignment horizontal="right"/>
    </xf>
    <xf numFmtId="165" fontId="3" fillId="0" borderId="13" xfId="3" applyNumberFormat="1" applyFont="1" applyBorder="1"/>
    <xf numFmtId="9" fontId="2" fillId="3" borderId="13" xfId="2" applyFont="1" applyFill="1" applyBorder="1"/>
    <xf numFmtId="9" fontId="6" fillId="3" borderId="13" xfId="2" applyFont="1" applyFill="1" applyBorder="1"/>
    <xf numFmtId="43" fontId="3" fillId="0" borderId="13" xfId="3" applyFont="1" applyBorder="1"/>
    <xf numFmtId="9" fontId="6" fillId="3" borderId="17" xfId="2" applyFont="1" applyFill="1" applyBorder="1" applyAlignment="1">
      <alignment horizontal="right"/>
    </xf>
    <xf numFmtId="165" fontId="2" fillId="0" borderId="11" xfId="3" applyNumberFormat="1" applyFont="1" applyBorder="1"/>
    <xf numFmtId="165" fontId="3" fillId="2" borderId="18" xfId="3" applyNumberFormat="1" applyFont="1" applyFill="1" applyBorder="1" applyAlignment="1">
      <alignment horizontal="center"/>
    </xf>
    <xf numFmtId="165" fontId="2" fillId="0" borderId="16" xfId="3" applyNumberFormat="1" applyFont="1" applyBorder="1"/>
    <xf numFmtId="165" fontId="3" fillId="0" borderId="20" xfId="3" applyNumberFormat="1" applyFont="1" applyBorder="1"/>
    <xf numFmtId="165" fontId="2" fillId="0" borderId="3" xfId="3" applyNumberFormat="1" applyFont="1" applyBorder="1"/>
    <xf numFmtId="165" fontId="10" fillId="0" borderId="3" xfId="3" applyNumberFormat="1" applyFont="1" applyBorder="1" applyAlignment="1">
      <alignment horizontal="center"/>
    </xf>
    <xf numFmtId="165" fontId="2" fillId="0" borderId="19" xfId="3" applyNumberFormat="1" applyFont="1" applyBorder="1"/>
    <xf numFmtId="43" fontId="2" fillId="3" borderId="1" xfId="3" applyFont="1" applyFill="1" applyBorder="1"/>
    <xf numFmtId="165" fontId="3" fillId="3" borderId="9" xfId="3" applyNumberFormat="1" applyFont="1" applyFill="1" applyBorder="1"/>
    <xf numFmtId="165" fontId="2" fillId="0" borderId="15" xfId="3" applyNumberFormat="1" applyFont="1" applyBorder="1"/>
    <xf numFmtId="165" fontId="2" fillId="0" borderId="1" xfId="3" applyNumberFormat="1" applyFont="1" applyFill="1" applyBorder="1" applyAlignment="1">
      <alignment horizontal="right"/>
    </xf>
    <xf numFmtId="165" fontId="3" fillId="2" borderId="14" xfId="3" applyNumberFormat="1" applyFont="1" applyFill="1" applyBorder="1" applyAlignment="1">
      <alignment horizontal="center"/>
    </xf>
    <xf numFmtId="10" fontId="3" fillId="3" borderId="1" xfId="2" applyNumberFormat="1" applyFont="1" applyFill="1" applyBorder="1"/>
    <xf numFmtId="10" fontId="3" fillId="3" borderId="13" xfId="2" applyNumberFormat="1" applyFont="1" applyFill="1" applyBorder="1"/>
    <xf numFmtId="165" fontId="10" fillId="0" borderId="18" xfId="3" applyNumberFormat="1" applyFont="1" applyBorder="1" applyAlignment="1">
      <alignment horizontal="center"/>
    </xf>
    <xf numFmtId="165" fontId="10" fillId="0" borderId="21" xfId="3" applyNumberFormat="1" applyFont="1" applyBorder="1" applyAlignment="1">
      <alignment horizontal="center"/>
    </xf>
    <xf numFmtId="165" fontId="2" fillId="0" borderId="13" xfId="3" applyNumberFormat="1" applyFont="1" applyBorder="1"/>
    <xf numFmtId="165" fontId="3" fillId="0" borderId="13" xfId="3" applyNumberFormat="1" applyFont="1" applyFill="1" applyBorder="1"/>
    <xf numFmtId="165" fontId="3" fillId="3" borderId="17" xfId="3" applyNumberFormat="1" applyFont="1" applyFill="1" applyBorder="1"/>
    <xf numFmtId="165" fontId="2" fillId="0" borderId="22" xfId="3" applyNumberFormat="1" applyFont="1" applyBorder="1"/>
    <xf numFmtId="165" fontId="2" fillId="0" borderId="22" xfId="3" applyNumberFormat="1" applyFont="1" applyFill="1" applyBorder="1"/>
    <xf numFmtId="165" fontId="3" fillId="0" borderId="22" xfId="3" applyNumberFormat="1" applyFont="1" applyFill="1" applyBorder="1"/>
    <xf numFmtId="165" fontId="3" fillId="3" borderId="24" xfId="3" applyNumberFormat="1" applyFont="1" applyFill="1" applyBorder="1"/>
    <xf numFmtId="165" fontId="10" fillId="0" borderId="8" xfId="3" applyNumberFormat="1" applyFont="1" applyBorder="1" applyAlignment="1">
      <alignment horizontal="center"/>
    </xf>
    <xf numFmtId="165" fontId="2" fillId="0" borderId="16" xfId="3" applyNumberFormat="1" applyFont="1" applyFill="1" applyBorder="1"/>
    <xf numFmtId="165" fontId="9" fillId="0" borderId="13" xfId="3" applyNumberFormat="1" applyFont="1" applyFill="1" applyBorder="1"/>
    <xf numFmtId="165" fontId="2" fillId="3" borderId="17" xfId="3" applyNumberFormat="1" applyFont="1" applyFill="1" applyBorder="1"/>
    <xf numFmtId="165" fontId="9" fillId="0" borderId="22" xfId="3" applyNumberFormat="1" applyFont="1" applyFill="1" applyBorder="1"/>
    <xf numFmtId="165" fontId="2" fillId="3" borderId="24" xfId="3" applyNumberFormat="1" applyFont="1" applyFill="1" applyBorder="1"/>
    <xf numFmtId="165" fontId="3" fillId="0" borderId="18" xfId="3" applyNumberFormat="1" applyFont="1" applyBorder="1" applyAlignment="1">
      <alignment horizontal="center"/>
    </xf>
    <xf numFmtId="165" fontId="11" fillId="8" borderId="13" xfId="3" applyNumberFormat="1" applyFont="1" applyFill="1" applyBorder="1" applyAlignment="1">
      <alignment horizontal="right" vertical="center" wrapText="1" indent="1"/>
    </xf>
    <xf numFmtId="165" fontId="11" fillId="0" borderId="22" xfId="3" applyNumberFormat="1" applyFont="1" applyFill="1" applyBorder="1" applyAlignment="1">
      <alignment horizontal="right" vertical="center" wrapText="1" indent="1"/>
    </xf>
    <xf numFmtId="165" fontId="11" fillId="8" borderId="1" xfId="3" applyNumberFormat="1" applyFont="1" applyFill="1" applyBorder="1" applyAlignment="1">
      <alignment horizontal="right" vertical="center" wrapText="1" indent="1"/>
    </xf>
    <xf numFmtId="166" fontId="2" fillId="3" borderId="9" xfId="3" applyNumberFormat="1" applyFont="1" applyFill="1" applyBorder="1"/>
    <xf numFmtId="166" fontId="11" fillId="0" borderId="9" xfId="3" applyNumberFormat="1" applyFont="1" applyBorder="1"/>
    <xf numFmtId="166" fontId="2" fillId="0" borderId="9" xfId="3" applyNumberFormat="1" applyFont="1" applyBorder="1"/>
    <xf numFmtId="9" fontId="2" fillId="0" borderId="7" xfId="2" applyFont="1" applyBorder="1"/>
    <xf numFmtId="165" fontId="10" fillId="0" borderId="25" xfId="3" applyNumberFormat="1" applyFont="1" applyBorder="1" applyAlignment="1">
      <alignment horizontal="center"/>
    </xf>
    <xf numFmtId="166" fontId="0" fillId="0" borderId="9" xfId="3" applyNumberFormat="1" applyFont="1" applyBorder="1" applyAlignment="1">
      <alignment horizontal="right"/>
    </xf>
    <xf numFmtId="9" fontId="0" fillId="0" borderId="9" xfId="2" applyFont="1" applyBorder="1" applyAlignment="1">
      <alignment horizontal="right"/>
    </xf>
    <xf numFmtId="165" fontId="3" fillId="0" borderId="19" xfId="3" applyNumberFormat="1" applyFont="1" applyFill="1" applyBorder="1" applyAlignment="1">
      <alignment horizontal="center"/>
    </xf>
    <xf numFmtId="165" fontId="2" fillId="0" borderId="20" xfId="3" applyNumberFormat="1" applyFont="1" applyBorder="1"/>
    <xf numFmtId="165" fontId="7" fillId="2" borderId="26" xfId="3" applyNumberFormat="1" applyFont="1" applyFill="1" applyBorder="1"/>
    <xf numFmtId="165" fontId="7" fillId="2" borderId="23" xfId="3" applyNumberFormat="1" applyFont="1" applyFill="1" applyBorder="1"/>
    <xf numFmtId="165" fontId="3" fillId="2" borderId="23" xfId="3" applyNumberFormat="1" applyFont="1" applyFill="1" applyBorder="1" applyAlignment="1">
      <alignment horizontal="center"/>
    </xf>
    <xf numFmtId="165" fontId="2" fillId="0" borderId="25" xfId="3" applyNumberFormat="1" applyFont="1" applyFill="1" applyBorder="1"/>
    <xf numFmtId="165" fontId="3" fillId="0" borderId="27" xfId="3" applyNumberFormat="1" applyFont="1" applyBorder="1" applyAlignment="1">
      <alignment horizontal="right"/>
    </xf>
    <xf numFmtId="9" fontId="0" fillId="3" borderId="9" xfId="3" applyNumberFormat="1" applyFont="1" applyFill="1" applyBorder="1" applyAlignment="1">
      <alignment horizontal="right"/>
    </xf>
    <xf numFmtId="43" fontId="11" fillId="5" borderId="9" xfId="3" applyFont="1" applyFill="1" applyBorder="1"/>
    <xf numFmtId="166" fontId="9" fillId="3" borderId="9" xfId="3" applyNumberFormat="1" applyFont="1" applyFill="1" applyBorder="1"/>
    <xf numFmtId="9" fontId="2" fillId="0" borderId="15" xfId="2" applyFont="1" applyBorder="1"/>
    <xf numFmtId="9" fontId="6" fillId="3" borderId="9" xfId="3" applyNumberFormat="1" applyFont="1" applyFill="1" applyBorder="1" applyAlignment="1">
      <alignment horizontal="right"/>
    </xf>
    <xf numFmtId="9" fontId="6" fillId="3" borderId="9" xfId="2" applyFont="1" applyFill="1" applyBorder="1" applyAlignment="1">
      <alignment horizontal="right"/>
    </xf>
    <xf numFmtId="10" fontId="3" fillId="3" borderId="9" xfId="2" applyNumberFormat="1" applyFont="1" applyFill="1" applyBorder="1"/>
    <xf numFmtId="165" fontId="3" fillId="0" borderId="9" xfId="3" applyNumberFormat="1" applyFont="1" applyBorder="1"/>
    <xf numFmtId="9" fontId="2" fillId="3" borderId="9" xfId="2" applyFont="1" applyFill="1" applyBorder="1"/>
    <xf numFmtId="9" fontId="6" fillId="3" borderId="9" xfId="2" applyFont="1" applyFill="1" applyBorder="1"/>
    <xf numFmtId="43" fontId="3" fillId="0" borderId="9" xfId="3" applyFont="1" applyBorder="1"/>
    <xf numFmtId="9" fontId="6" fillId="3" borderId="15" xfId="2" applyFont="1" applyFill="1" applyBorder="1" applyAlignment="1">
      <alignment horizontal="right"/>
    </xf>
    <xf numFmtId="43" fontId="2" fillId="0" borderId="0" xfId="3" applyFont="1"/>
    <xf numFmtId="165" fontId="3" fillId="7" borderId="26" xfId="3" applyNumberFormat="1" applyFont="1" applyFill="1" applyBorder="1" applyAlignment="1">
      <alignment horizontal="center"/>
    </xf>
    <xf numFmtId="165" fontId="3" fillId="7" borderId="23" xfId="3" applyNumberFormat="1" applyFont="1" applyFill="1" applyBorder="1" applyAlignment="1">
      <alignment horizontal="center"/>
    </xf>
    <xf numFmtId="165" fontId="3" fillId="7" borderId="27" xfId="3" applyNumberFormat="1" applyFont="1" applyFill="1" applyBorder="1" applyAlignment="1">
      <alignment horizontal="center"/>
    </xf>
    <xf numFmtId="165" fontId="12" fillId="7" borderId="10" xfId="3" applyNumberFormat="1" applyFont="1" applyFill="1" applyBorder="1" applyAlignment="1">
      <alignment horizontal="center" vertical="center"/>
    </xf>
    <xf numFmtId="165" fontId="12" fillId="7" borderId="11" xfId="3" applyNumberFormat="1" applyFont="1" applyFill="1" applyBorder="1" applyAlignment="1">
      <alignment horizontal="center" vertical="center"/>
    </xf>
    <xf numFmtId="165" fontId="12" fillId="7" borderId="12" xfId="3" applyNumberFormat="1" applyFont="1" applyFill="1" applyBorder="1" applyAlignment="1">
      <alignment horizontal="center" vertical="center"/>
    </xf>
    <xf numFmtId="165" fontId="3" fillId="7" borderId="28" xfId="3" applyNumberFormat="1" applyFont="1" applyFill="1" applyBorder="1" applyAlignment="1">
      <alignment horizontal="center"/>
    </xf>
    <xf numFmtId="165" fontId="3" fillId="7" borderId="29" xfId="3" applyNumberFormat="1" applyFont="1" applyFill="1" applyBorder="1" applyAlignment="1">
      <alignment horizontal="center"/>
    </xf>
    <xf numFmtId="165" fontId="3" fillId="7" borderId="30" xfId="3" applyNumberFormat="1" applyFont="1" applyFill="1" applyBorder="1" applyAlignment="1">
      <alignment horizontal="center"/>
    </xf>
    <xf numFmtId="165" fontId="3" fillId="7" borderId="10" xfId="3" applyNumberFormat="1" applyFont="1" applyFill="1" applyBorder="1" applyAlignment="1">
      <alignment horizontal="center"/>
    </xf>
    <xf numFmtId="165" fontId="3" fillId="7" borderId="11" xfId="3" applyNumberFormat="1" applyFont="1" applyFill="1" applyBorder="1" applyAlignment="1">
      <alignment horizontal="center"/>
    </xf>
    <xf numFmtId="165" fontId="3" fillId="7" borderId="12" xfId="3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7">
    <cellStyle name="Comma" xfId="3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Percent" xfId="2" builtinId="5"/>
    <cellStyle name="Style 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12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5B7EBF0-A274-4556-87B9-BC816E4906AB}">
  <we:reference id="wa200009152" version="1.0.0.4" store="en-US" storeType="OMEX"/>
  <we:alternateReferences>
    <we:reference id="wa200009152" version="1.0.0.4" store="wa200009152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5"/>
  <sheetViews>
    <sheetView tabSelected="1" topLeftCell="G61" zoomScaleNormal="100" workbookViewId="0">
      <selection activeCell="U77" sqref="U77"/>
    </sheetView>
  </sheetViews>
  <sheetFormatPr defaultColWidth="8.6640625" defaultRowHeight="14.4" x14ac:dyDescent="0.3"/>
  <cols>
    <col min="1" max="1" width="8.6640625" style="44"/>
    <col min="2" max="2" width="70.88671875" style="44" customWidth="1"/>
    <col min="3" max="3" width="14.6640625" style="44" customWidth="1"/>
    <col min="4" max="4" width="14.88671875" style="44" bestFit="1" customWidth="1"/>
    <col min="5" max="5" width="14.44140625" style="44" bestFit="1" customWidth="1"/>
    <col min="6" max="6" width="14.44140625" style="44" customWidth="1"/>
    <col min="7" max="7" width="15.88671875" style="44" bestFit="1" customWidth="1"/>
    <col min="8" max="9" width="15.88671875" style="44" customWidth="1"/>
    <col min="10" max="10" width="11.88671875" style="44" customWidth="1"/>
    <col min="11" max="11" width="47.88671875" style="44" bestFit="1" customWidth="1"/>
    <col min="12" max="12" width="10.6640625" style="44" hidden="1" customWidth="1"/>
    <col min="13" max="14" width="10.6640625" style="44" bestFit="1" customWidth="1"/>
    <col min="15" max="15" width="10.6640625" style="44" customWidth="1"/>
    <col min="16" max="16" width="12.109375" style="44" bestFit="1" customWidth="1"/>
    <col min="17" max="17" width="13.88671875" style="44" customWidth="1"/>
    <col min="18" max="18" width="10.33203125" style="44" bestFit="1" customWidth="1"/>
    <col min="19" max="19" width="13" style="44" bestFit="1" customWidth="1"/>
    <col min="20" max="16384" width="8.6640625" style="44"/>
  </cols>
  <sheetData>
    <row r="1" spans="2:19" ht="15" thickBot="1" x14ac:dyDescent="0.35"/>
    <row r="2" spans="2:19" ht="18.600000000000001" thickBot="1" x14ac:dyDescent="0.35">
      <c r="B2" s="135" t="s">
        <v>167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</row>
    <row r="3" spans="2:19" ht="15" thickBot="1" x14ac:dyDescent="0.35">
      <c r="G3" s="78"/>
      <c r="H3" s="112"/>
      <c r="K3" s="48"/>
      <c r="L3" s="48"/>
      <c r="M3" s="48"/>
      <c r="N3" s="48"/>
      <c r="O3" s="48"/>
      <c r="P3" s="48"/>
      <c r="Q3" s="48"/>
      <c r="R3" s="48"/>
    </row>
    <row r="4" spans="2:19" ht="15" thickBot="1" x14ac:dyDescent="0.35">
      <c r="B4" s="141" t="s">
        <v>0</v>
      </c>
      <c r="C4" s="142"/>
      <c r="D4" s="142"/>
      <c r="E4" s="142"/>
      <c r="F4" s="142"/>
      <c r="G4" s="142"/>
      <c r="H4" s="142"/>
      <c r="I4" s="143"/>
      <c r="K4" s="138" t="s">
        <v>132</v>
      </c>
      <c r="L4" s="139"/>
      <c r="M4" s="139"/>
      <c r="N4" s="139"/>
      <c r="O4" s="139"/>
      <c r="P4" s="139"/>
      <c r="Q4" s="139"/>
      <c r="R4" s="139"/>
      <c r="S4" s="140"/>
    </row>
    <row r="5" spans="2:19" ht="15" thickBot="1" x14ac:dyDescent="0.35">
      <c r="B5" s="21" t="s">
        <v>20</v>
      </c>
      <c r="C5" s="22" t="s">
        <v>2</v>
      </c>
      <c r="D5" s="22" t="s">
        <v>161</v>
      </c>
      <c r="E5" s="22" t="s">
        <v>162</v>
      </c>
      <c r="F5" s="73" t="s">
        <v>164</v>
      </c>
      <c r="G5" s="22" t="s">
        <v>166</v>
      </c>
      <c r="H5" s="22" t="s">
        <v>189</v>
      </c>
      <c r="I5" s="83" t="s">
        <v>202</v>
      </c>
      <c r="K5" s="114" t="s">
        <v>1</v>
      </c>
      <c r="L5" s="115" t="s">
        <v>95</v>
      </c>
      <c r="M5" s="116" t="s">
        <v>2</v>
      </c>
      <c r="N5" s="116" t="s">
        <v>161</v>
      </c>
      <c r="O5" s="116" t="s">
        <v>162</v>
      </c>
      <c r="P5" s="116" t="s">
        <v>164</v>
      </c>
      <c r="Q5" s="116" t="s">
        <v>165</v>
      </c>
      <c r="R5" s="116" t="s">
        <v>189</v>
      </c>
      <c r="S5" s="118" t="s">
        <v>202</v>
      </c>
    </row>
    <row r="6" spans="2:19" x14ac:dyDescent="0.3">
      <c r="B6" s="23" t="s">
        <v>3</v>
      </c>
      <c r="C6" s="15">
        <v>1973.8</v>
      </c>
      <c r="D6" s="15">
        <v>1852.319</v>
      </c>
      <c r="E6" s="18">
        <v>2028.864</v>
      </c>
      <c r="F6" s="18">
        <v>2194.9810000000002</v>
      </c>
      <c r="G6" s="18">
        <v>2529.39</v>
      </c>
      <c r="H6" s="18">
        <v>4180.6000000000004</v>
      </c>
      <c r="I6" s="19">
        <v>6607</v>
      </c>
      <c r="K6" s="113" t="s">
        <v>26</v>
      </c>
      <c r="L6" s="76">
        <v>197.88</v>
      </c>
      <c r="M6" s="76">
        <v>111.17100000000001</v>
      </c>
      <c r="N6" s="76">
        <v>111.17100000000001</v>
      </c>
      <c r="O6" s="76">
        <v>154.31399999999999</v>
      </c>
      <c r="P6" s="76">
        <v>154.31399999999999</v>
      </c>
      <c r="Q6" s="76">
        <v>163.39400000000001</v>
      </c>
      <c r="R6" s="76">
        <v>174.411</v>
      </c>
      <c r="S6" s="117">
        <v>209.4</v>
      </c>
    </row>
    <row r="7" spans="2:19" x14ac:dyDescent="0.3">
      <c r="B7" s="41" t="s">
        <v>12</v>
      </c>
      <c r="C7" s="42">
        <v>17.902999999999999</v>
      </c>
      <c r="D7" s="42">
        <v>15.476000000000001</v>
      </c>
      <c r="E7" s="46">
        <v>16.768000000000001</v>
      </c>
      <c r="F7" s="46">
        <v>23.989000000000001</v>
      </c>
      <c r="G7" s="63">
        <v>36.308</v>
      </c>
      <c r="H7" s="63">
        <v>116.6</v>
      </c>
      <c r="I7" s="47">
        <v>170.1</v>
      </c>
      <c r="K7" s="41" t="s">
        <v>27</v>
      </c>
      <c r="L7" s="42">
        <v>2717.3919999999998</v>
      </c>
      <c r="M7" s="42">
        <v>788.37199999999996</v>
      </c>
      <c r="N7" s="24">
        <v>780.18299999999999</v>
      </c>
      <c r="O7" s="24">
        <v>1474.307</v>
      </c>
      <c r="P7" s="42">
        <v>1828.7070000000001</v>
      </c>
      <c r="Q7" s="24">
        <v>2177.48</v>
      </c>
      <c r="R7" s="42">
        <v>3944.4</v>
      </c>
      <c r="S7" s="47">
        <v>6521.2</v>
      </c>
    </row>
    <row r="8" spans="2:19" x14ac:dyDescent="0.3">
      <c r="B8" s="25" t="s">
        <v>99</v>
      </c>
      <c r="C8" s="16">
        <f t="shared" ref="C8" si="0">C6+C7</f>
        <v>1991.703</v>
      </c>
      <c r="D8" s="16">
        <f t="shared" ref="D8:H8" si="1">D6+D7</f>
        <v>1867.7950000000001</v>
      </c>
      <c r="E8" s="16">
        <f t="shared" si="1"/>
        <v>2045.6320000000001</v>
      </c>
      <c r="F8" s="16">
        <f t="shared" si="1"/>
        <v>2218.9700000000003</v>
      </c>
      <c r="G8" s="64">
        <f t="shared" si="1"/>
        <v>2565.6979999999999</v>
      </c>
      <c r="H8" s="64">
        <f t="shared" si="1"/>
        <v>4297.2000000000007</v>
      </c>
      <c r="I8" s="80">
        <f>I6+I7</f>
        <v>6777.1</v>
      </c>
      <c r="J8" s="48"/>
      <c r="K8" s="25" t="s">
        <v>54</v>
      </c>
      <c r="L8" s="16">
        <f t="shared" ref="L8:R8" si="2">SUM(L6:L7)</f>
        <v>2915.2719999999999</v>
      </c>
      <c r="M8" s="16">
        <f t="shared" si="2"/>
        <v>899.54300000000001</v>
      </c>
      <c r="N8" s="16">
        <f t="shared" si="2"/>
        <v>891.35400000000004</v>
      </c>
      <c r="O8" s="16">
        <f t="shared" si="2"/>
        <v>1628.6210000000001</v>
      </c>
      <c r="P8" s="16">
        <f t="shared" si="2"/>
        <v>1983.0210000000002</v>
      </c>
      <c r="Q8" s="16">
        <f t="shared" si="2"/>
        <v>2340.8739999999998</v>
      </c>
      <c r="R8" s="16">
        <f t="shared" si="2"/>
        <v>4118.8109999999997</v>
      </c>
      <c r="S8" s="80">
        <f>SUM(S6:S7)</f>
        <v>6730.5999999999995</v>
      </c>
    </row>
    <row r="9" spans="2:19" x14ac:dyDescent="0.3">
      <c r="B9" s="26" t="s">
        <v>4</v>
      </c>
      <c r="C9" s="27"/>
      <c r="D9" s="31">
        <f t="shared" ref="D9" si="3">+D8/C8-1</f>
        <v>-6.2212086842265091E-2</v>
      </c>
      <c r="E9" s="31">
        <f>+E8/D8-1</f>
        <v>9.5212269012391548E-2</v>
      </c>
      <c r="F9" s="31">
        <f>+F8/E8-1</f>
        <v>8.4735670932015283E-2</v>
      </c>
      <c r="G9" s="65">
        <f>+G8/F8-1</f>
        <v>0.1562562810673418</v>
      </c>
      <c r="H9" s="65">
        <f>+H8/G8-1</f>
        <v>0.67486586496150403</v>
      </c>
      <c r="I9" s="123">
        <f>+I8/H8-1</f>
        <v>0.57709671413943942</v>
      </c>
      <c r="K9" s="41" t="s">
        <v>28</v>
      </c>
      <c r="L9" s="42">
        <v>4.13</v>
      </c>
      <c r="M9" s="42">
        <v>0</v>
      </c>
      <c r="N9" s="42">
        <v>0</v>
      </c>
      <c r="O9" s="42">
        <v>79.573999999999998</v>
      </c>
      <c r="P9" s="42">
        <v>0</v>
      </c>
      <c r="Q9" s="42">
        <v>0</v>
      </c>
      <c r="R9" s="42"/>
      <c r="S9" s="45">
        <v>0</v>
      </c>
    </row>
    <row r="10" spans="2:19" x14ac:dyDescent="0.3">
      <c r="B10" s="26" t="s">
        <v>5</v>
      </c>
      <c r="C10" s="32"/>
      <c r="D10" s="32"/>
      <c r="E10" s="32"/>
      <c r="F10" s="32">
        <f t="shared" ref="F10" si="4">+((F8/C8)^(1/3)-1)</f>
        <v>3.6674185991688812E-2</v>
      </c>
      <c r="G10" s="65">
        <f>+G9/F9-1</f>
        <v>0.84404371085594621</v>
      </c>
      <c r="H10" s="65">
        <f>+H9/G9-1</f>
        <v>3.3189679182922376</v>
      </c>
      <c r="I10" s="123">
        <f>+((I8/F8)^(1/3)-1)</f>
        <v>0.4508777515682667</v>
      </c>
      <c r="K10" s="41" t="s">
        <v>55</v>
      </c>
      <c r="L10" s="42">
        <v>317.31900000000002</v>
      </c>
      <c r="M10" s="42">
        <v>26.753</v>
      </c>
      <c r="N10" s="42">
        <v>10.978999999999999</v>
      </c>
      <c r="O10" s="42">
        <v>3.9860000000000002</v>
      </c>
      <c r="P10" s="42">
        <v>8.9559999999999995</v>
      </c>
      <c r="Q10" s="42">
        <v>7.8479999999999999</v>
      </c>
      <c r="R10" s="42">
        <v>7.9</v>
      </c>
      <c r="S10" s="47">
        <v>30.4</v>
      </c>
    </row>
    <row r="11" spans="2:19" x14ac:dyDescent="0.3">
      <c r="B11" s="25" t="s">
        <v>6</v>
      </c>
      <c r="C11" s="16">
        <f t="shared" ref="C11:G11" si="5">SUM(C12:C16)</f>
        <v>1485.529</v>
      </c>
      <c r="D11" s="16">
        <f t="shared" si="5"/>
        <v>1692.4399999999998</v>
      </c>
      <c r="E11" s="16">
        <f t="shared" si="5"/>
        <v>1806.9581999999998</v>
      </c>
      <c r="F11" s="16">
        <f t="shared" si="5"/>
        <v>1877.7959999999998</v>
      </c>
      <c r="G11" s="64">
        <f t="shared" si="5"/>
        <v>2088.6669999999999</v>
      </c>
      <c r="H11" s="64">
        <f>SUM(H12:H16)</f>
        <v>3400.7</v>
      </c>
      <c r="I11" s="80">
        <f>SUM(I12:I16)</f>
        <v>5146.7</v>
      </c>
      <c r="K11" s="41" t="s">
        <v>56</v>
      </c>
      <c r="L11" s="42">
        <v>858.25300000000004</v>
      </c>
      <c r="M11" s="42">
        <v>924.84</v>
      </c>
      <c r="N11" s="42">
        <v>855.51599999999996</v>
      </c>
      <c r="O11" s="42">
        <v>599.91700000000003</v>
      </c>
      <c r="P11" s="42">
        <v>537.85699999999997</v>
      </c>
      <c r="Q11" s="42">
        <v>38.610999999999997</v>
      </c>
      <c r="R11" s="42">
        <v>398.7</v>
      </c>
      <c r="S11" s="47">
        <v>435.6</v>
      </c>
    </row>
    <row r="12" spans="2:19" x14ac:dyDescent="0.3">
      <c r="B12" s="41" t="s">
        <v>21</v>
      </c>
      <c r="C12" s="42">
        <v>158.19499999999999</v>
      </c>
      <c r="D12" s="42">
        <v>165.92</v>
      </c>
      <c r="E12" s="46">
        <v>226.75899999999999</v>
      </c>
      <c r="F12" s="46">
        <v>302.54300000000001</v>
      </c>
      <c r="G12" s="63">
        <v>300.94900000000001</v>
      </c>
      <c r="H12" s="63">
        <v>354.7</v>
      </c>
      <c r="I12" s="47">
        <v>531</v>
      </c>
      <c r="K12" s="25" t="s">
        <v>57</v>
      </c>
      <c r="L12" s="16">
        <f t="shared" ref="L12:P12" si="6">L10+L11</f>
        <v>1175.5720000000001</v>
      </c>
      <c r="M12" s="16">
        <f t="shared" si="6"/>
        <v>951.59300000000007</v>
      </c>
      <c r="N12" s="16">
        <f t="shared" si="6"/>
        <v>866.495</v>
      </c>
      <c r="O12" s="16">
        <f t="shared" si="6"/>
        <v>603.90300000000002</v>
      </c>
      <c r="P12" s="16">
        <f t="shared" si="6"/>
        <v>546.81299999999999</v>
      </c>
      <c r="Q12" s="16">
        <f>Q10+Q11</f>
        <v>46.458999999999996</v>
      </c>
      <c r="R12" s="16">
        <f>R10+R11</f>
        <v>406.59999999999997</v>
      </c>
      <c r="S12" s="80">
        <f>S10+S11</f>
        <v>466</v>
      </c>
    </row>
    <row r="13" spans="2:19" x14ac:dyDescent="0.3">
      <c r="B13" s="28" t="s">
        <v>168</v>
      </c>
      <c r="C13" s="42">
        <v>-6.7679999999999998</v>
      </c>
      <c r="D13" s="42">
        <v>6.89</v>
      </c>
      <c r="E13" s="46">
        <v>-1.861</v>
      </c>
      <c r="F13" s="46">
        <v>-1.385</v>
      </c>
      <c r="G13" s="63">
        <v>1.179</v>
      </c>
      <c r="H13" s="63">
        <v>1.2</v>
      </c>
      <c r="I13" s="47">
        <v>-3.5</v>
      </c>
      <c r="K13" s="25" t="s">
        <v>58</v>
      </c>
      <c r="L13" s="16">
        <f>+L8+L9+L19+L20+L10</f>
        <v>3335.8420000000001</v>
      </c>
      <c r="M13" s="16">
        <f t="shared" ref="M13:Q13" si="7">+M8+M9+M19+M20+M10+M17+M18</f>
        <v>927.92000000000007</v>
      </c>
      <c r="N13" s="16">
        <f t="shared" si="7"/>
        <v>903.21</v>
      </c>
      <c r="O13" s="16">
        <f t="shared" si="7"/>
        <v>1726.5040000000004</v>
      </c>
      <c r="P13" s="16">
        <f t="shared" si="7"/>
        <v>2014.06</v>
      </c>
      <c r="Q13" s="16">
        <f t="shared" si="7"/>
        <v>2382.5419999999999</v>
      </c>
      <c r="R13" s="16">
        <f>+R8+R9+R19+R20+R10+R17+R18</f>
        <v>4194.7109999999993</v>
      </c>
      <c r="S13" s="80">
        <f>+S8+S9+S19+S20+S10+S17+S18</f>
        <v>6854.6999999999989</v>
      </c>
    </row>
    <row r="14" spans="2:19" x14ac:dyDescent="0.3">
      <c r="B14" s="28" t="s">
        <v>169</v>
      </c>
      <c r="C14" s="42">
        <v>775.67100000000005</v>
      </c>
      <c r="D14" s="42">
        <v>1051.809</v>
      </c>
      <c r="E14" s="46">
        <v>966.38599999999997</v>
      </c>
      <c r="F14" s="46">
        <v>387.42500000000001</v>
      </c>
      <c r="G14" s="63">
        <v>435.892</v>
      </c>
      <c r="H14" s="63">
        <v>1233.5</v>
      </c>
      <c r="I14" s="47">
        <v>2550.9</v>
      </c>
      <c r="K14" s="25" t="s">
        <v>58</v>
      </c>
      <c r="L14" s="16">
        <f t="shared" ref="L14:R14" si="8">L63-L30-L11</f>
        <v>8792.1679999999997</v>
      </c>
      <c r="M14" s="16">
        <f t="shared" si="8"/>
        <v>927.91600000000028</v>
      </c>
      <c r="N14" s="16">
        <f t="shared" si="8"/>
        <v>903.21000000000038</v>
      </c>
      <c r="O14" s="16">
        <f t="shared" si="8"/>
        <v>1726.5039999999999</v>
      </c>
      <c r="P14" s="16">
        <f t="shared" si="8"/>
        <v>2014.0150000000003</v>
      </c>
      <c r="Q14" s="16">
        <f t="shared" si="8"/>
        <v>2382.5389999999998</v>
      </c>
      <c r="R14" s="16">
        <f t="shared" si="8"/>
        <v>4194.7150000000001</v>
      </c>
      <c r="S14" s="80">
        <f>S63-S30-S11</f>
        <v>6854.5999999999985</v>
      </c>
    </row>
    <row r="15" spans="2:19" x14ac:dyDescent="0.3">
      <c r="B15" s="41" t="s">
        <v>7</v>
      </c>
      <c r="C15" s="42">
        <v>353.279</v>
      </c>
      <c r="D15" s="42">
        <v>289.15699999999998</v>
      </c>
      <c r="E15" s="46">
        <v>362.09</v>
      </c>
      <c r="F15" s="46">
        <v>821.15099999999995</v>
      </c>
      <c r="G15" s="63">
        <v>890.98299999999995</v>
      </c>
      <c r="H15" s="63">
        <v>1241.0999999999999</v>
      </c>
      <c r="I15" s="47">
        <v>1345.5</v>
      </c>
      <c r="K15" s="23" t="s">
        <v>29</v>
      </c>
      <c r="L15" s="15"/>
      <c r="M15" s="42"/>
      <c r="N15" s="42"/>
      <c r="O15" s="42"/>
      <c r="P15" s="42"/>
      <c r="Q15" s="42"/>
      <c r="R15" s="42"/>
      <c r="S15" s="47"/>
    </row>
    <row r="16" spans="2:19" x14ac:dyDescent="0.3">
      <c r="B16" s="41" t="s">
        <v>8</v>
      </c>
      <c r="C16" s="42">
        <v>205.15199999999999</v>
      </c>
      <c r="D16" s="42">
        <v>178.66399999999999</v>
      </c>
      <c r="E16" s="46">
        <v>253.58420000000001</v>
      </c>
      <c r="F16" s="46">
        <v>368.06200000000001</v>
      </c>
      <c r="G16" s="63">
        <v>459.66399999999999</v>
      </c>
      <c r="H16" s="63">
        <v>570.20000000000005</v>
      </c>
      <c r="I16" s="47">
        <v>722.8</v>
      </c>
      <c r="K16" s="41" t="s">
        <v>30</v>
      </c>
      <c r="L16" s="42"/>
      <c r="M16" s="42"/>
      <c r="N16" s="42"/>
      <c r="O16" s="42"/>
      <c r="P16" s="42"/>
      <c r="Q16" s="42"/>
      <c r="R16" s="42"/>
      <c r="S16" s="47"/>
    </row>
    <row r="17" spans="2:19" x14ac:dyDescent="0.3">
      <c r="B17" s="25" t="s">
        <v>9</v>
      </c>
      <c r="C17" s="16">
        <f t="shared" ref="C17:H17" si="9">C6-C11</f>
        <v>488.27099999999996</v>
      </c>
      <c r="D17" s="16">
        <f t="shared" si="9"/>
        <v>159.87900000000013</v>
      </c>
      <c r="E17" s="16">
        <f t="shared" si="9"/>
        <v>221.90580000000023</v>
      </c>
      <c r="F17" s="16">
        <f t="shared" si="9"/>
        <v>317.1850000000004</v>
      </c>
      <c r="G17" s="64">
        <f t="shared" si="9"/>
        <v>440.72299999999996</v>
      </c>
      <c r="H17" s="64">
        <f t="shared" si="9"/>
        <v>779.90000000000055</v>
      </c>
      <c r="I17" s="80">
        <f>I6-I11</f>
        <v>1460.3000000000002</v>
      </c>
      <c r="K17" s="41" t="s">
        <v>186</v>
      </c>
      <c r="L17" s="42"/>
      <c r="M17" s="42">
        <v>0</v>
      </c>
      <c r="N17" s="42">
        <v>0</v>
      </c>
      <c r="O17" s="42">
        <v>14.323</v>
      </c>
      <c r="P17" s="42">
        <v>13.57</v>
      </c>
      <c r="Q17" s="42">
        <v>24.337</v>
      </c>
      <c r="R17" s="42">
        <v>55.3</v>
      </c>
      <c r="S17" s="47">
        <v>74.900000000000006</v>
      </c>
    </row>
    <row r="18" spans="2:19" x14ac:dyDescent="0.3">
      <c r="B18" s="26" t="s">
        <v>4</v>
      </c>
      <c r="C18" s="32"/>
      <c r="D18" s="32">
        <f>+D17/C17-1</f>
        <v>-0.67256093439913456</v>
      </c>
      <c r="E18" s="32">
        <f>+E17/D17-1</f>
        <v>0.38796089542716716</v>
      </c>
      <c r="F18" s="32">
        <f t="shared" ref="F18" si="10">+F17/E17-1</f>
        <v>0.4293677767773536</v>
      </c>
      <c r="G18" s="66">
        <f>+G17/F17-1</f>
        <v>0.38948247867963293</v>
      </c>
      <c r="H18" s="66">
        <f>+H17/G17-1</f>
        <v>0.76959223820858136</v>
      </c>
      <c r="I18" s="124">
        <f>+I17/H17-1</f>
        <v>0.87241954096678964</v>
      </c>
      <c r="K18" s="41" t="s">
        <v>184</v>
      </c>
      <c r="L18" s="42"/>
      <c r="M18" s="42">
        <v>1.6240000000000001</v>
      </c>
      <c r="N18" s="42">
        <v>0.877</v>
      </c>
      <c r="O18" s="42">
        <v>0</v>
      </c>
      <c r="P18" s="42">
        <v>0</v>
      </c>
      <c r="Q18" s="42">
        <v>0</v>
      </c>
      <c r="R18" s="42">
        <v>0</v>
      </c>
      <c r="S18" s="47">
        <v>0</v>
      </c>
    </row>
    <row r="19" spans="2:19" x14ac:dyDescent="0.3">
      <c r="B19" s="26" t="s">
        <v>5</v>
      </c>
      <c r="C19" s="32"/>
      <c r="D19" s="32"/>
      <c r="E19" s="32"/>
      <c r="F19" s="32">
        <f t="shared" ref="F19:G19" si="11">+((F17/C17)^(1/3)-1)</f>
        <v>-0.1339348363771462</v>
      </c>
      <c r="G19" s="66">
        <f t="shared" si="11"/>
        <v>0.4021401673832159</v>
      </c>
      <c r="H19" s="66">
        <f>+((H17/E17)^(1/3)-1)</f>
        <v>0.520396130303455</v>
      </c>
      <c r="I19" s="124">
        <f>+((I17/F17)^(1/3)-1)</f>
        <v>0.66357792224517742</v>
      </c>
      <c r="K19" s="41" t="s">
        <v>31</v>
      </c>
      <c r="L19" s="42">
        <v>12.811</v>
      </c>
      <c r="M19" s="42">
        <v>0</v>
      </c>
      <c r="N19" s="42">
        <v>0</v>
      </c>
      <c r="O19" s="42">
        <v>0</v>
      </c>
      <c r="P19" s="42">
        <v>8.5129999999999999</v>
      </c>
      <c r="Q19" s="42">
        <v>9.4830000000000005</v>
      </c>
      <c r="R19" s="42">
        <v>12.7</v>
      </c>
      <c r="S19" s="47">
        <v>18.8</v>
      </c>
    </row>
    <row r="20" spans="2:19" x14ac:dyDescent="0.3">
      <c r="B20" s="25" t="s">
        <v>10</v>
      </c>
      <c r="C20" s="84">
        <f t="shared" ref="C20:G20" si="12">C17/C6</f>
        <v>0.24737612726720032</v>
      </c>
      <c r="D20" s="84">
        <f t="shared" si="12"/>
        <v>8.63128867111983E-2</v>
      </c>
      <c r="E20" s="84">
        <f t="shared" si="12"/>
        <v>0.10937440853600844</v>
      </c>
      <c r="F20" s="84">
        <f t="shared" si="12"/>
        <v>0.14450466769416245</v>
      </c>
      <c r="G20" s="85">
        <f t="shared" si="12"/>
        <v>0.17424082486291159</v>
      </c>
      <c r="H20" s="85">
        <f>H17/H6</f>
        <v>0.1865521695450415</v>
      </c>
      <c r="I20" s="125">
        <f>I17/I6</f>
        <v>0.22102315725745425</v>
      </c>
      <c r="K20" s="41" t="s">
        <v>32</v>
      </c>
      <c r="L20" s="42">
        <v>86.31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/>
      <c r="S20" s="47">
        <v>0</v>
      </c>
    </row>
    <row r="21" spans="2:19" x14ac:dyDescent="0.3">
      <c r="B21" s="41" t="s">
        <v>11</v>
      </c>
      <c r="C21" s="42">
        <v>38.798000000000002</v>
      </c>
      <c r="D21" s="42">
        <v>33.759</v>
      </c>
      <c r="E21" s="46">
        <v>30.253</v>
      </c>
      <c r="F21" s="46">
        <v>44.975999999999999</v>
      </c>
      <c r="G21" s="63">
        <v>51.633000000000003</v>
      </c>
      <c r="H21" s="63">
        <v>82.2</v>
      </c>
      <c r="I21" s="47">
        <v>113.8</v>
      </c>
      <c r="K21" s="23" t="s">
        <v>33</v>
      </c>
      <c r="L21" s="15">
        <f t="shared" ref="L21:Q21" si="13">SUM(L17:L20)</f>
        <v>99.121000000000009</v>
      </c>
      <c r="M21" s="15">
        <f t="shared" si="13"/>
        <v>1.6240000000000001</v>
      </c>
      <c r="N21" s="15">
        <f t="shared" si="13"/>
        <v>0.877</v>
      </c>
      <c r="O21" s="15">
        <f t="shared" si="13"/>
        <v>14.323</v>
      </c>
      <c r="P21" s="15">
        <f t="shared" si="13"/>
        <v>22.082999999999998</v>
      </c>
      <c r="Q21" s="15">
        <f t="shared" si="13"/>
        <v>33.82</v>
      </c>
      <c r="R21" s="15">
        <f>SUM(R17:R20)</f>
        <v>68</v>
      </c>
      <c r="S21" s="19">
        <f>SUM(S17:S20)</f>
        <v>93.7</v>
      </c>
    </row>
    <row r="22" spans="2:19" x14ac:dyDescent="0.3">
      <c r="B22" s="41" t="s">
        <v>22</v>
      </c>
      <c r="C22" s="42">
        <v>160.33000000000001</v>
      </c>
      <c r="D22" s="42">
        <v>117.239</v>
      </c>
      <c r="E22" s="46">
        <v>92.295000000000002</v>
      </c>
      <c r="F22" s="46">
        <v>84.4</v>
      </c>
      <c r="G22" s="63">
        <v>47.085999999999999</v>
      </c>
      <c r="H22" s="63">
        <v>25.2</v>
      </c>
      <c r="I22" s="47">
        <v>63.1</v>
      </c>
      <c r="K22" s="23" t="s">
        <v>34</v>
      </c>
      <c r="L22" s="15"/>
      <c r="M22" s="42"/>
      <c r="N22" s="42"/>
      <c r="O22" s="42"/>
      <c r="P22" s="42"/>
      <c r="Q22" s="42"/>
      <c r="R22" s="42"/>
      <c r="S22" s="47"/>
    </row>
    <row r="23" spans="2:19" x14ac:dyDescent="0.3">
      <c r="B23" s="25" t="s">
        <v>171</v>
      </c>
      <c r="C23" s="16">
        <f>C17-C21-C22+C7</f>
        <v>307.04599999999994</v>
      </c>
      <c r="D23" s="16">
        <f t="shared" ref="D23:G23" si="14">D17-D21-D22+D7</f>
        <v>24.357000000000127</v>
      </c>
      <c r="E23" s="16">
        <f t="shared" si="14"/>
        <v>116.12580000000024</v>
      </c>
      <c r="F23" s="16">
        <f t="shared" si="14"/>
        <v>211.7980000000004</v>
      </c>
      <c r="G23" s="64">
        <f t="shared" si="14"/>
        <v>378.31199999999995</v>
      </c>
      <c r="H23" s="64">
        <f>H17-H21-H22+H7</f>
        <v>789.10000000000048</v>
      </c>
      <c r="I23" s="80">
        <f>I17-I21-I22+I7</f>
        <v>1453.5000000000002</v>
      </c>
      <c r="K23" s="41" t="s">
        <v>35</v>
      </c>
      <c r="L23" s="42"/>
      <c r="M23" s="42"/>
      <c r="N23" s="42"/>
      <c r="O23" s="42"/>
      <c r="P23" s="42"/>
      <c r="Q23" s="42"/>
      <c r="R23" s="42"/>
      <c r="S23" s="47"/>
    </row>
    <row r="24" spans="2:19" x14ac:dyDescent="0.3">
      <c r="B24" s="49" t="s">
        <v>172</v>
      </c>
      <c r="C24" s="16">
        <v>0</v>
      </c>
      <c r="D24" s="16">
        <v>0</v>
      </c>
      <c r="E24" s="16">
        <v>18.608000000000001</v>
      </c>
      <c r="F24" s="16">
        <v>77.325999999999993</v>
      </c>
      <c r="G24" s="64">
        <v>118.248</v>
      </c>
      <c r="H24" s="64">
        <v>106.3</v>
      </c>
      <c r="I24" s="80">
        <v>118.7</v>
      </c>
      <c r="K24" s="41" t="s">
        <v>183</v>
      </c>
      <c r="L24" s="42">
        <v>1168.681</v>
      </c>
      <c r="M24" s="42">
        <f>18.172+492.022</f>
        <v>510.19400000000002</v>
      </c>
      <c r="N24" s="42">
        <f>15.66+631.302</f>
        <v>646.96199999999999</v>
      </c>
      <c r="O24" s="42">
        <f>27.487+435.979</f>
        <v>463.46600000000001</v>
      </c>
      <c r="P24" s="42">
        <f>9.182+323.015</f>
        <v>332.197</v>
      </c>
      <c r="Q24" s="42">
        <f>67.375+437.583</f>
        <v>504.95800000000003</v>
      </c>
      <c r="R24" s="42">
        <f>690.1+57.2</f>
        <v>747.30000000000007</v>
      </c>
      <c r="S24" s="47">
        <f>1399.3+156</f>
        <v>1555.3</v>
      </c>
    </row>
    <row r="25" spans="2:19" x14ac:dyDescent="0.3">
      <c r="B25" s="49" t="s">
        <v>173</v>
      </c>
      <c r="C25" s="16">
        <v>0</v>
      </c>
      <c r="D25" s="16">
        <v>0</v>
      </c>
      <c r="E25" s="16">
        <v>0</v>
      </c>
      <c r="F25" s="16">
        <v>0</v>
      </c>
      <c r="G25" s="64">
        <v>0</v>
      </c>
      <c r="H25" s="64">
        <v>0</v>
      </c>
      <c r="I25" s="80">
        <v>11.6</v>
      </c>
      <c r="K25" s="41" t="s">
        <v>184</v>
      </c>
      <c r="L25" s="42">
        <v>617.91700000000003</v>
      </c>
      <c r="M25" s="42">
        <v>74.183999999999997</v>
      </c>
      <c r="N25" s="42">
        <v>75.325999999999993</v>
      </c>
      <c r="O25" s="42">
        <v>66.317999999999998</v>
      </c>
      <c r="P25" s="42">
        <v>71.863</v>
      </c>
      <c r="Q25" s="42">
        <v>116.039</v>
      </c>
      <c r="R25" s="42">
        <v>159.6</v>
      </c>
      <c r="S25" s="47">
        <v>181</v>
      </c>
    </row>
    <row r="26" spans="2:19" x14ac:dyDescent="0.3">
      <c r="B26" s="25" t="s">
        <v>13</v>
      </c>
      <c r="C26" s="16">
        <f t="shared" ref="C26:E26" si="15">C23+C25+C24</f>
        <v>307.04599999999994</v>
      </c>
      <c r="D26" s="16">
        <f>D23+D25+D24</f>
        <v>24.357000000000127</v>
      </c>
      <c r="E26" s="16">
        <f t="shared" si="15"/>
        <v>134.73380000000023</v>
      </c>
      <c r="F26" s="16">
        <f>F23+F25+F24</f>
        <v>289.12400000000036</v>
      </c>
      <c r="G26" s="64">
        <f>G23+G25+G24</f>
        <v>496.55999999999995</v>
      </c>
      <c r="H26" s="64">
        <f>H23+H25+H24</f>
        <v>895.40000000000043</v>
      </c>
      <c r="I26" s="80">
        <f>I23-I25+I24</f>
        <v>1560.6000000000004</v>
      </c>
      <c r="K26" s="41" t="s">
        <v>185</v>
      </c>
      <c r="L26" s="42"/>
      <c r="M26" s="42">
        <v>0</v>
      </c>
      <c r="N26" s="42">
        <v>0</v>
      </c>
      <c r="O26" s="42">
        <v>10.047000000000001</v>
      </c>
      <c r="P26" s="42">
        <v>8.3829999999999991</v>
      </c>
      <c r="Q26" s="42">
        <v>20.032</v>
      </c>
      <c r="R26" s="42">
        <v>29.6</v>
      </c>
      <c r="S26" s="47">
        <v>26.5</v>
      </c>
    </row>
    <row r="27" spans="2:19" x14ac:dyDescent="0.3">
      <c r="B27" s="23" t="s">
        <v>25</v>
      </c>
      <c r="C27" s="15">
        <f>SUM(C28:C30)</f>
        <v>85.555999999999898</v>
      </c>
      <c r="D27" s="15">
        <f t="shared" ref="D27:G27" si="16">SUM(D28:D30)</f>
        <v>4.3570000000002231</v>
      </c>
      <c r="E27" s="15">
        <f t="shared" si="16"/>
        <v>39.584999999999994</v>
      </c>
      <c r="F27" s="15">
        <f t="shared" si="16"/>
        <v>-19.787999999999997</v>
      </c>
      <c r="G27" s="67">
        <f t="shared" si="16"/>
        <v>146.56699999999998</v>
      </c>
      <c r="H27" s="67">
        <f>SUM(H28:H30)</f>
        <v>263.00000000000006</v>
      </c>
      <c r="I27" s="126">
        <f>SUM(I28:I30)</f>
        <v>226.4</v>
      </c>
      <c r="K27" s="41" t="s">
        <v>36</v>
      </c>
      <c r="L27" s="42">
        <v>39.911999999999999</v>
      </c>
      <c r="M27" s="42">
        <v>51.286999999999999</v>
      </c>
      <c r="N27" s="42">
        <v>72.772999999999996</v>
      </c>
      <c r="O27" s="46">
        <v>97.66</v>
      </c>
      <c r="P27" s="42">
        <v>136.197</v>
      </c>
      <c r="Q27" s="46">
        <v>167.589</v>
      </c>
      <c r="R27" s="42">
        <v>45.2</v>
      </c>
      <c r="S27" s="47">
        <v>73</v>
      </c>
    </row>
    <row r="28" spans="2:19" x14ac:dyDescent="0.3">
      <c r="B28" s="41" t="s">
        <v>23</v>
      </c>
      <c r="C28" s="42">
        <v>-92.846999999999994</v>
      </c>
      <c r="D28" s="42">
        <v>-20.148</v>
      </c>
      <c r="E28" s="46">
        <v>48.844999999999999</v>
      </c>
      <c r="F28" s="46">
        <v>37.090000000000003</v>
      </c>
      <c r="G28" s="63">
        <v>163.255</v>
      </c>
      <c r="H28" s="63">
        <v>316.3</v>
      </c>
      <c r="I28" s="47">
        <v>395.3</v>
      </c>
      <c r="K28" s="41" t="s">
        <v>37</v>
      </c>
      <c r="L28" s="42">
        <v>73.281000000000006</v>
      </c>
      <c r="M28" s="42">
        <v>11.545999999999999</v>
      </c>
      <c r="N28" s="42">
        <v>8.2929999999999993</v>
      </c>
      <c r="O28" s="42">
        <v>23.417000000000002</v>
      </c>
      <c r="P28" s="42">
        <v>25.786999999999999</v>
      </c>
      <c r="Q28" s="42">
        <v>29.195</v>
      </c>
      <c r="R28" s="42">
        <v>43.7</v>
      </c>
      <c r="S28" s="47">
        <v>77.900000000000006</v>
      </c>
    </row>
    <row r="29" spans="2:19" x14ac:dyDescent="0.3">
      <c r="B29" s="41" t="s">
        <v>170</v>
      </c>
      <c r="C29" s="42">
        <v>0.122</v>
      </c>
      <c r="D29" s="42">
        <v>0.34300000000000003</v>
      </c>
      <c r="E29" s="46">
        <v>-0.81599999999999995</v>
      </c>
      <c r="F29" s="46">
        <v>1.2989999999999999</v>
      </c>
      <c r="G29" s="63">
        <v>2.5089999999999999</v>
      </c>
      <c r="H29" s="63">
        <v>-7.4</v>
      </c>
      <c r="I29" s="47">
        <v>-77.8</v>
      </c>
      <c r="K29" s="41" t="s">
        <v>38</v>
      </c>
      <c r="L29" s="42"/>
      <c r="M29" s="42">
        <v>0</v>
      </c>
      <c r="N29" s="42">
        <v>0</v>
      </c>
      <c r="O29" s="42">
        <v>0</v>
      </c>
      <c r="P29" s="42">
        <v>2.5910000000000002</v>
      </c>
      <c r="Q29" s="42">
        <v>1.825</v>
      </c>
      <c r="R29" s="42">
        <v>157.80000000000001</v>
      </c>
      <c r="S29" s="47">
        <v>94.2</v>
      </c>
    </row>
    <row r="30" spans="2:19" x14ac:dyDescent="0.3">
      <c r="B30" s="41" t="s">
        <v>24</v>
      </c>
      <c r="C30" s="46">
        <v>178.28099999999989</v>
      </c>
      <c r="D30" s="46">
        <v>24.162000000000223</v>
      </c>
      <c r="E30" s="46">
        <v>-8.4440000000000008</v>
      </c>
      <c r="F30" s="46">
        <v>-58.177</v>
      </c>
      <c r="G30" s="63">
        <v>-19.196999999999999</v>
      </c>
      <c r="H30" s="63">
        <v>-45.9</v>
      </c>
      <c r="I30" s="47">
        <v>-91.1</v>
      </c>
      <c r="K30" s="25" t="s">
        <v>39</v>
      </c>
      <c r="L30" s="16">
        <f t="shared" ref="L30:Q30" si="17">SUM(L24:L29)</f>
        <v>1899.7909999999999</v>
      </c>
      <c r="M30" s="16">
        <f t="shared" si="17"/>
        <v>647.21100000000013</v>
      </c>
      <c r="N30" s="16">
        <f t="shared" si="17"/>
        <v>803.35400000000004</v>
      </c>
      <c r="O30" s="16">
        <f t="shared" si="17"/>
        <v>660.90800000000002</v>
      </c>
      <c r="P30" s="16">
        <f t="shared" si="17"/>
        <v>577.01800000000003</v>
      </c>
      <c r="Q30" s="16">
        <f t="shared" si="17"/>
        <v>839.63800000000026</v>
      </c>
      <c r="R30" s="16">
        <f>SUM(R24:R29)</f>
        <v>1183.2</v>
      </c>
      <c r="S30" s="80">
        <f>SUM(S24:S29)</f>
        <v>2007.9</v>
      </c>
    </row>
    <row r="31" spans="2:19" x14ac:dyDescent="0.3">
      <c r="B31" s="26" t="s">
        <v>14</v>
      </c>
      <c r="C31" s="50">
        <f t="shared" ref="C31:H31" si="18">C27/C23</f>
        <v>0.27864228812620884</v>
      </c>
      <c r="D31" s="50">
        <f t="shared" si="18"/>
        <v>0.17888081455024019</v>
      </c>
      <c r="E31" s="50">
        <f t="shared" si="18"/>
        <v>0.34088032116893846</v>
      </c>
      <c r="F31" s="50">
        <f t="shared" si="18"/>
        <v>-9.3428644274261133E-2</v>
      </c>
      <c r="G31" s="68">
        <f t="shared" si="18"/>
        <v>0.38742360802723674</v>
      </c>
      <c r="H31" s="68">
        <f t="shared" si="18"/>
        <v>0.33329109111646166</v>
      </c>
      <c r="I31" s="127">
        <f>I27/I23</f>
        <v>0.15576195390436876</v>
      </c>
      <c r="K31" s="25" t="s">
        <v>40</v>
      </c>
      <c r="L31" s="16">
        <f t="shared" ref="L31:Q31" si="19">+L30+L21+L12+L8+L9</f>
        <v>6093.8860000000004</v>
      </c>
      <c r="M31" s="16">
        <f t="shared" si="19"/>
        <v>2499.9710000000005</v>
      </c>
      <c r="N31" s="16">
        <f t="shared" si="19"/>
        <v>2562.08</v>
      </c>
      <c r="O31" s="16">
        <f t="shared" si="19"/>
        <v>2987.3290000000002</v>
      </c>
      <c r="P31" s="16">
        <f t="shared" si="19"/>
        <v>3128.9350000000004</v>
      </c>
      <c r="Q31" s="16">
        <f t="shared" si="19"/>
        <v>3260.7910000000002</v>
      </c>
      <c r="R31" s="16">
        <f>+R30+R21+R12+R8+R9</f>
        <v>5776.6109999999999</v>
      </c>
      <c r="S31" s="80">
        <f>+S30+S21+S12+S8+S9</f>
        <v>9298.1999999999989</v>
      </c>
    </row>
    <row r="32" spans="2:19" x14ac:dyDescent="0.3">
      <c r="B32" s="25" t="s">
        <v>15</v>
      </c>
      <c r="C32" s="16">
        <f t="shared" ref="C32:I32" si="20">C26-C27</f>
        <v>221.49000000000004</v>
      </c>
      <c r="D32" s="16">
        <f t="shared" si="20"/>
        <v>19.999999999999904</v>
      </c>
      <c r="E32" s="16">
        <f t="shared" si="20"/>
        <v>95.148800000000236</v>
      </c>
      <c r="F32" s="16">
        <f t="shared" si="20"/>
        <v>308.91200000000038</v>
      </c>
      <c r="G32" s="64">
        <f t="shared" si="20"/>
        <v>349.99299999999994</v>
      </c>
      <c r="H32" s="64">
        <f t="shared" si="20"/>
        <v>632.40000000000032</v>
      </c>
      <c r="I32" s="80">
        <f t="shared" si="20"/>
        <v>1334.2000000000003</v>
      </c>
      <c r="K32" s="23" t="s">
        <v>53</v>
      </c>
      <c r="L32" s="15"/>
      <c r="M32" s="42"/>
      <c r="N32" s="42"/>
      <c r="O32" s="42"/>
      <c r="P32" s="42"/>
      <c r="Q32" s="42"/>
      <c r="R32" s="42"/>
      <c r="S32" s="47"/>
    </row>
    <row r="33" spans="2:19" x14ac:dyDescent="0.3">
      <c r="B33" s="25" t="s">
        <v>16</v>
      </c>
      <c r="C33" s="84">
        <f>C32/C6</f>
        <v>0.11221501671901918</v>
      </c>
      <c r="D33" s="84">
        <f t="shared" ref="D33:H33" si="21">D32/D6</f>
        <v>1.0797276279085785E-2</v>
      </c>
      <c r="E33" s="84">
        <f t="shared" si="21"/>
        <v>4.6897574209015601E-2</v>
      </c>
      <c r="F33" s="84">
        <f t="shared" si="21"/>
        <v>0.14073561456796224</v>
      </c>
      <c r="G33" s="85">
        <f t="shared" si="21"/>
        <v>0.13837051621141855</v>
      </c>
      <c r="H33" s="85">
        <f t="shared" si="21"/>
        <v>0.1512701526096733</v>
      </c>
      <c r="I33" s="125">
        <f>I32/I6</f>
        <v>0.20193733918571216</v>
      </c>
      <c r="K33" s="41" t="s">
        <v>41</v>
      </c>
      <c r="L33" s="42">
        <v>2794.7750000000001</v>
      </c>
      <c r="M33" s="46">
        <v>242.69</v>
      </c>
      <c r="N33" s="42">
        <v>217.29</v>
      </c>
      <c r="O33" s="42">
        <v>240.06800000000001</v>
      </c>
      <c r="P33" s="42">
        <v>199.03700000000001</v>
      </c>
      <c r="Q33" s="42">
        <v>237.952</v>
      </c>
      <c r="R33" s="42">
        <v>447</v>
      </c>
      <c r="S33" s="47">
        <v>456.5</v>
      </c>
    </row>
    <row r="34" spans="2:19" x14ac:dyDescent="0.3">
      <c r="B34" s="25"/>
      <c r="C34" s="16"/>
      <c r="D34" s="16"/>
      <c r="E34" s="16"/>
      <c r="F34" s="16"/>
      <c r="G34" s="64"/>
      <c r="H34" s="64"/>
      <c r="I34" s="80"/>
      <c r="K34" s="41" t="s">
        <v>190</v>
      </c>
      <c r="L34" s="42">
        <v>2794.7750000000001</v>
      </c>
      <c r="M34" s="82" t="s">
        <v>199</v>
      </c>
      <c r="N34" s="82" t="s">
        <v>199</v>
      </c>
      <c r="O34" s="82" t="s">
        <v>199</v>
      </c>
      <c r="P34" s="82" t="s">
        <v>199</v>
      </c>
      <c r="Q34" s="82" t="s">
        <v>199</v>
      </c>
      <c r="R34" s="82">
        <v>8</v>
      </c>
      <c r="S34" s="47" t="s">
        <v>199</v>
      </c>
    </row>
    <row r="35" spans="2:19" x14ac:dyDescent="0.3">
      <c r="B35" s="41" t="s">
        <v>17</v>
      </c>
      <c r="C35" s="42">
        <v>-1.0129999999999999</v>
      </c>
      <c r="D35" s="42">
        <v>-0.33600000000000002</v>
      </c>
      <c r="E35" s="46">
        <v>-2.758</v>
      </c>
      <c r="F35" s="46">
        <v>19.216999999999999</v>
      </c>
      <c r="G35" s="63">
        <v>3.0750000000000002</v>
      </c>
      <c r="H35" s="63">
        <v>3.6</v>
      </c>
      <c r="I35" s="47">
        <v>4.3</v>
      </c>
      <c r="K35" s="41" t="s">
        <v>191</v>
      </c>
      <c r="L35" s="42">
        <v>2794.7750000000001</v>
      </c>
      <c r="M35" s="82" t="s">
        <v>199</v>
      </c>
      <c r="N35" s="82" t="s">
        <v>199</v>
      </c>
      <c r="O35" s="82" t="s">
        <v>199</v>
      </c>
      <c r="P35" s="82" t="s">
        <v>199</v>
      </c>
      <c r="Q35" s="82" t="s">
        <v>199</v>
      </c>
      <c r="R35" s="82">
        <v>8.4</v>
      </c>
      <c r="S35" s="47">
        <v>8.3000000000000007</v>
      </c>
    </row>
    <row r="36" spans="2:19" x14ac:dyDescent="0.3">
      <c r="B36" s="25" t="s">
        <v>174</v>
      </c>
      <c r="C36" s="16">
        <f t="shared" ref="C36:H36" si="22">C32+SUM(C35:C35)</f>
        <v>220.47700000000003</v>
      </c>
      <c r="D36" s="16">
        <f t="shared" si="22"/>
        <v>19.663999999999906</v>
      </c>
      <c r="E36" s="16">
        <f t="shared" si="22"/>
        <v>92.39080000000024</v>
      </c>
      <c r="F36" s="16">
        <f t="shared" si="22"/>
        <v>328.12900000000036</v>
      </c>
      <c r="G36" s="64">
        <f t="shared" si="22"/>
        <v>353.06799999999993</v>
      </c>
      <c r="H36" s="64">
        <f t="shared" si="22"/>
        <v>636.00000000000034</v>
      </c>
      <c r="I36" s="80">
        <f>I32+SUM(I35:I35)</f>
        <v>1338.5000000000002</v>
      </c>
      <c r="K36" s="41" t="s">
        <v>192</v>
      </c>
      <c r="L36" s="42">
        <v>69.36</v>
      </c>
      <c r="M36" s="46">
        <v>0.55700000000000005</v>
      </c>
      <c r="N36" s="42">
        <v>0.55700000000000005</v>
      </c>
      <c r="O36" s="42">
        <v>199.61799999999999</v>
      </c>
      <c r="P36" s="42">
        <v>199.61799999999999</v>
      </c>
      <c r="Q36" s="42">
        <v>199.61799999999999</v>
      </c>
      <c r="R36" s="42">
        <v>261.89999999999998</v>
      </c>
      <c r="S36" s="47">
        <v>267.89999999999998</v>
      </c>
    </row>
    <row r="37" spans="2:19" x14ac:dyDescent="0.3">
      <c r="B37" s="26" t="s">
        <v>4</v>
      </c>
      <c r="C37" s="32"/>
      <c r="D37" s="33">
        <f t="shared" ref="D37" si="23">D36/C36-1</f>
        <v>-0.9108115585752713</v>
      </c>
      <c r="E37" s="33">
        <f>E36/D36-1</f>
        <v>3.698474369406056</v>
      </c>
      <c r="F37" s="33">
        <f>F36/E36-1</f>
        <v>2.5515332695463133</v>
      </c>
      <c r="G37" s="69">
        <f>G36/F36-1</f>
        <v>7.6003644907946422E-2</v>
      </c>
      <c r="H37" s="69">
        <f>H36/G36-1</f>
        <v>0.80135271392479779</v>
      </c>
      <c r="I37" s="128">
        <f>I36/H36-1</f>
        <v>1.1045597484276723</v>
      </c>
      <c r="K37" s="41" t="s">
        <v>193</v>
      </c>
      <c r="L37" s="42"/>
      <c r="M37" s="46">
        <v>13.404999999999999</v>
      </c>
      <c r="N37" s="42">
        <v>8.5530000000000008</v>
      </c>
      <c r="O37" s="42">
        <v>8.6820000000000004</v>
      </c>
      <c r="P37" s="42">
        <v>2.157</v>
      </c>
      <c r="Q37" s="42">
        <v>1.0469999999999999</v>
      </c>
      <c r="R37" s="42">
        <v>82.6</v>
      </c>
      <c r="S37" s="47">
        <v>120.3</v>
      </c>
    </row>
    <row r="38" spans="2:19" x14ac:dyDescent="0.3">
      <c r="B38" s="26" t="s">
        <v>18</v>
      </c>
      <c r="C38" s="32"/>
      <c r="D38" s="32"/>
      <c r="E38" s="32"/>
      <c r="F38" s="32">
        <f t="shared" ref="F38:G38" si="24">+((F36/C36)^(1/3)-1)</f>
        <v>0.14172218861887953</v>
      </c>
      <c r="G38" s="66">
        <f t="shared" si="24"/>
        <v>1.6185577960883628</v>
      </c>
      <c r="H38" s="66">
        <f>+((H36/E36)^(1/3)-1)</f>
        <v>0.90228739132681923</v>
      </c>
      <c r="I38" s="124">
        <f>+((I36/F36)^(1/3)-1)</f>
        <v>0.59780798370205068</v>
      </c>
      <c r="K38" s="41" t="s">
        <v>200</v>
      </c>
      <c r="L38" s="42"/>
      <c r="M38" s="46"/>
      <c r="N38" s="42"/>
      <c r="O38" s="42"/>
      <c r="P38" s="42"/>
      <c r="Q38" s="42"/>
      <c r="R38" s="42">
        <v>21.1</v>
      </c>
      <c r="S38" s="47">
        <v>5.7</v>
      </c>
    </row>
    <row r="39" spans="2:19" x14ac:dyDescent="0.3">
      <c r="B39" s="23" t="s">
        <v>188</v>
      </c>
      <c r="C39" s="36">
        <v>19.920000000000002</v>
      </c>
      <c r="D39" s="36">
        <v>1.79</v>
      </c>
      <c r="E39" s="36">
        <v>8.1199999999999992</v>
      </c>
      <c r="F39" s="36">
        <v>20.02</v>
      </c>
      <c r="G39" s="70">
        <v>22.52</v>
      </c>
      <c r="H39" s="70">
        <v>35.270000000000003</v>
      </c>
      <c r="I39" s="129">
        <v>67.87</v>
      </c>
      <c r="K39" s="41" t="s">
        <v>194</v>
      </c>
      <c r="L39" s="42"/>
      <c r="M39" s="46"/>
      <c r="N39" s="42"/>
      <c r="O39" s="42"/>
      <c r="P39" s="42"/>
      <c r="Q39" s="42"/>
      <c r="R39" s="42"/>
      <c r="S39" s="47"/>
    </row>
    <row r="40" spans="2:19" x14ac:dyDescent="0.3">
      <c r="B40" s="51" t="s">
        <v>4</v>
      </c>
      <c r="C40" s="32"/>
      <c r="D40" s="32">
        <f t="shared" ref="D40" si="25">+D39/C39-1</f>
        <v>-0.91014056224899598</v>
      </c>
      <c r="E40" s="32">
        <f>+E39/D39-1</f>
        <v>3.5363128491620106</v>
      </c>
      <c r="F40" s="32">
        <f>+F39/E39-1</f>
        <v>1.4655172413793105</v>
      </c>
      <c r="G40" s="66">
        <f>+G39/F39-1</f>
        <v>0.12487512487512498</v>
      </c>
      <c r="H40" s="66">
        <f>+H39/G39-1</f>
        <v>0.56616341030195394</v>
      </c>
      <c r="I40" s="124">
        <f>+I39/H39-1</f>
        <v>0.92429827048483126</v>
      </c>
      <c r="K40" s="41" t="s">
        <v>42</v>
      </c>
      <c r="L40" s="42"/>
      <c r="M40" s="46">
        <v>0.76100000000000001</v>
      </c>
      <c r="N40" s="42">
        <v>0.76100000000000001</v>
      </c>
      <c r="O40" s="42">
        <v>186.33699999999999</v>
      </c>
      <c r="P40" s="42">
        <v>264.48399999999998</v>
      </c>
      <c r="Q40" s="42">
        <v>267.17099999999999</v>
      </c>
      <c r="R40" s="42">
        <v>220.4</v>
      </c>
      <c r="S40" s="47">
        <v>232.6</v>
      </c>
    </row>
    <row r="41" spans="2:19" ht="15" thickBot="1" x14ac:dyDescent="0.35">
      <c r="B41" s="53" t="s">
        <v>179</v>
      </c>
      <c r="C41" s="34"/>
      <c r="D41" s="34"/>
      <c r="E41" s="34"/>
      <c r="F41" s="34">
        <f t="shared" ref="F41:G41" si="26">+((F39/C39)^(1/3)-1)</f>
        <v>1.6705677563946253E-3</v>
      </c>
      <c r="G41" s="71">
        <f t="shared" si="26"/>
        <v>1.3257968879176425</v>
      </c>
      <c r="H41" s="71">
        <f>+((H39/E39)^(1/3)-1)</f>
        <v>0.63161044482447903</v>
      </c>
      <c r="I41" s="130">
        <f>+((I39/F39)^(1/3)-1)</f>
        <v>0.50223516992774653</v>
      </c>
      <c r="K41" s="41" t="s">
        <v>43</v>
      </c>
      <c r="L41" s="42"/>
      <c r="M41" s="46">
        <v>47.609000000000002</v>
      </c>
      <c r="N41" s="42">
        <v>36.929000000000002</v>
      </c>
      <c r="O41" s="42">
        <v>51.53</v>
      </c>
      <c r="P41" s="42">
        <v>34.774999999999999</v>
      </c>
      <c r="Q41" s="42">
        <v>21.695</v>
      </c>
      <c r="R41" s="42">
        <v>77.7</v>
      </c>
      <c r="S41" s="47">
        <v>124.8</v>
      </c>
    </row>
    <row r="42" spans="2:19" x14ac:dyDescent="0.3">
      <c r="G42" s="48"/>
      <c r="H42" s="74"/>
      <c r="I42" s="48"/>
      <c r="K42" s="41" t="s">
        <v>182</v>
      </c>
      <c r="L42" s="42"/>
      <c r="M42" s="46">
        <v>10.747999999999999</v>
      </c>
      <c r="N42" s="42">
        <v>29.318999999999999</v>
      </c>
      <c r="O42" s="42">
        <v>21.466999999999999</v>
      </c>
      <c r="P42" s="42">
        <v>21.117000000000001</v>
      </c>
      <c r="Q42" s="42">
        <v>30.707000000000001</v>
      </c>
      <c r="R42" s="42">
        <v>24.9</v>
      </c>
      <c r="S42" s="47">
        <v>10.8</v>
      </c>
    </row>
    <row r="43" spans="2:19" ht="15" thickBot="1" x14ac:dyDescent="0.35">
      <c r="G43" s="48"/>
      <c r="H43" s="48"/>
      <c r="I43" s="48"/>
      <c r="K43" s="52" t="s">
        <v>195</v>
      </c>
      <c r="L43" s="46">
        <v>473.12299999999999</v>
      </c>
      <c r="M43" s="46">
        <v>3.585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7" t="s">
        <v>199</v>
      </c>
    </row>
    <row r="44" spans="2:19" ht="15" thickBot="1" x14ac:dyDescent="0.35">
      <c r="B44" s="141" t="s">
        <v>79</v>
      </c>
      <c r="C44" s="142"/>
      <c r="D44" s="142"/>
      <c r="E44" s="142"/>
      <c r="F44" s="142"/>
      <c r="G44" s="142"/>
      <c r="H44" s="142"/>
      <c r="I44" s="143"/>
      <c r="J44" s="48"/>
      <c r="K44" s="41" t="s">
        <v>196</v>
      </c>
      <c r="L44" s="42">
        <v>24.844999999999999</v>
      </c>
      <c r="M44" s="46">
        <v>5.819</v>
      </c>
      <c r="N44" s="42">
        <v>8.2110000000000003</v>
      </c>
      <c r="O44" s="42">
        <v>18.501000000000001</v>
      </c>
      <c r="P44" s="42">
        <v>21.047999999999998</v>
      </c>
      <c r="Q44" s="42">
        <v>19.925000000000001</v>
      </c>
      <c r="R44" s="42">
        <v>12.7</v>
      </c>
      <c r="S44" s="47">
        <v>8.9</v>
      </c>
    </row>
    <row r="45" spans="2:19" x14ac:dyDescent="0.3">
      <c r="B45" s="38" t="s">
        <v>1</v>
      </c>
      <c r="C45" s="39" t="s">
        <v>2</v>
      </c>
      <c r="D45" s="39" t="s">
        <v>161</v>
      </c>
      <c r="E45" s="39" t="s">
        <v>162</v>
      </c>
      <c r="F45" s="39" t="s">
        <v>164</v>
      </c>
      <c r="G45" s="86" t="s">
        <v>165</v>
      </c>
      <c r="H45" s="95" t="s">
        <v>189</v>
      </c>
      <c r="I45" s="87" t="s">
        <v>202</v>
      </c>
      <c r="K45" s="41" t="s">
        <v>197</v>
      </c>
      <c r="L45" s="42"/>
      <c r="M45" s="46">
        <v>79.106999999999999</v>
      </c>
      <c r="N45" s="42">
        <v>11.942</v>
      </c>
      <c r="O45" s="42">
        <v>33.488</v>
      </c>
      <c r="P45" s="42">
        <v>63.081000000000003</v>
      </c>
      <c r="Q45" s="42">
        <v>85.26</v>
      </c>
      <c r="R45" s="42">
        <v>0</v>
      </c>
      <c r="S45" s="47">
        <v>0</v>
      </c>
    </row>
    <row r="46" spans="2:19" x14ac:dyDescent="0.3">
      <c r="B46" s="23" t="s">
        <v>80</v>
      </c>
      <c r="C46" s="42">
        <v>3.61</v>
      </c>
      <c r="D46" s="42">
        <f>C52</f>
        <v>7.3260000000000076</v>
      </c>
      <c r="E46" s="42">
        <f t="shared" ref="E46:G46" si="27">D52</f>
        <v>0.78199999999999648</v>
      </c>
      <c r="F46" s="42">
        <f t="shared" si="27"/>
        <v>140.03900000000002</v>
      </c>
      <c r="G46" s="88">
        <f t="shared" si="27"/>
        <v>324.30700000000002</v>
      </c>
      <c r="H46" s="42">
        <f>G52</f>
        <v>110.84000000000003</v>
      </c>
      <c r="I46" s="91">
        <f>H52</f>
        <v>124.54000000000008</v>
      </c>
      <c r="K46" s="41" t="s">
        <v>198</v>
      </c>
      <c r="L46" s="42"/>
      <c r="M46" s="46">
        <v>17.963000000000001</v>
      </c>
      <c r="N46" s="42">
        <v>33.479999999999997</v>
      </c>
      <c r="O46" s="42">
        <v>27.998000000000001</v>
      </c>
      <c r="P46" s="42">
        <v>86.635999999999996</v>
      </c>
      <c r="Q46" s="42">
        <v>106.819</v>
      </c>
      <c r="R46" s="42">
        <v>155</v>
      </c>
      <c r="S46" s="47">
        <v>257</v>
      </c>
    </row>
    <row r="47" spans="2:19" x14ac:dyDescent="0.3">
      <c r="B47" s="41" t="s">
        <v>81</v>
      </c>
      <c r="C47" s="42">
        <v>356.95400000000001</v>
      </c>
      <c r="D47" s="42">
        <v>227.125</v>
      </c>
      <c r="E47" s="42">
        <v>263.99900000000002</v>
      </c>
      <c r="F47" s="42">
        <v>469.77800000000002</v>
      </c>
      <c r="G47" s="63">
        <v>490.36700000000002</v>
      </c>
      <c r="H47" s="46">
        <v>56.8</v>
      </c>
      <c r="I47" s="92">
        <v>34.9</v>
      </c>
      <c r="K47" s="25" t="s">
        <v>44</v>
      </c>
      <c r="L47" s="16">
        <f>SUM(L33:L45)</f>
        <v>8951.6530000000002</v>
      </c>
      <c r="M47" s="16">
        <f t="shared" ref="M47:R47" si="28">SUM(M33:M46)</f>
        <v>422.24399999999997</v>
      </c>
      <c r="N47" s="16">
        <f t="shared" si="28"/>
        <v>347.04200000000003</v>
      </c>
      <c r="O47" s="16">
        <f t="shared" si="28"/>
        <v>787.68900000000008</v>
      </c>
      <c r="P47" s="16">
        <f t="shared" si="28"/>
        <v>891.95299999999986</v>
      </c>
      <c r="Q47" s="16">
        <f t="shared" si="28"/>
        <v>970.19399999999996</v>
      </c>
      <c r="R47" s="16">
        <f t="shared" si="28"/>
        <v>1319.7000000000003</v>
      </c>
      <c r="S47" s="80">
        <f>SUM(S33:S46)</f>
        <v>1492.8</v>
      </c>
    </row>
    <row r="48" spans="2:19" x14ac:dyDescent="0.3">
      <c r="B48" s="41" t="s">
        <v>82</v>
      </c>
      <c r="C48" s="42">
        <v>35.515999999999998</v>
      </c>
      <c r="D48" s="42">
        <v>5.0410000000000004</v>
      </c>
      <c r="E48" s="42">
        <v>-12.874000000000001</v>
      </c>
      <c r="F48" s="46">
        <v>-85.117999999999995</v>
      </c>
      <c r="G48" s="63">
        <v>-51.640999999999998</v>
      </c>
      <c r="H48" s="46">
        <v>-528.4</v>
      </c>
      <c r="I48" s="92">
        <v>-1262</v>
      </c>
      <c r="K48" s="23" t="s">
        <v>45</v>
      </c>
      <c r="L48" s="15"/>
      <c r="M48" s="42"/>
      <c r="N48" s="42"/>
      <c r="O48" s="42"/>
      <c r="P48" s="42"/>
      <c r="Q48" s="42"/>
      <c r="R48" s="42"/>
      <c r="S48" s="47"/>
    </row>
    <row r="49" spans="2:19" x14ac:dyDescent="0.3">
      <c r="B49" s="41" t="s">
        <v>83</v>
      </c>
      <c r="C49" s="42">
        <v>-388.75400000000002</v>
      </c>
      <c r="D49" s="42">
        <v>-238.71</v>
      </c>
      <c r="E49" s="42">
        <v>-208.114</v>
      </c>
      <c r="F49" s="46">
        <v>-200.392</v>
      </c>
      <c r="G49" s="63">
        <v>-652.19299999999998</v>
      </c>
      <c r="H49" s="46">
        <v>485.3</v>
      </c>
      <c r="I49" s="92">
        <v>1172.5</v>
      </c>
      <c r="K49" s="41" t="s">
        <v>46</v>
      </c>
      <c r="L49" s="42">
        <v>1418.1790000000001</v>
      </c>
      <c r="M49" s="46">
        <v>79.22</v>
      </c>
      <c r="N49" s="42">
        <v>31.527000000000001</v>
      </c>
      <c r="O49" s="42">
        <v>9.5589999999999993</v>
      </c>
      <c r="P49" s="42">
        <v>43.640999999999998</v>
      </c>
      <c r="Q49" s="42">
        <v>6.3719999999999999</v>
      </c>
      <c r="R49" s="42">
        <v>5.0999999999999996</v>
      </c>
      <c r="S49" s="47">
        <v>8.1999999999999993</v>
      </c>
    </row>
    <row r="50" spans="2:19" x14ac:dyDescent="0.3">
      <c r="B50" s="23" t="s">
        <v>84</v>
      </c>
      <c r="C50" s="15">
        <f t="shared" ref="C50:G50" si="29">+C47+C48+C49</f>
        <v>3.7160000000000082</v>
      </c>
      <c r="D50" s="15">
        <f t="shared" si="29"/>
        <v>-6.5440000000000111</v>
      </c>
      <c r="E50" s="15">
        <f t="shared" si="29"/>
        <v>43.011000000000024</v>
      </c>
      <c r="F50" s="18">
        <f t="shared" si="29"/>
        <v>184.26800000000003</v>
      </c>
      <c r="G50" s="89">
        <f t="shared" si="29"/>
        <v>-213.46699999999998</v>
      </c>
      <c r="H50" s="18">
        <f>+H47+H48+H49</f>
        <v>13.700000000000045</v>
      </c>
      <c r="I50" s="93">
        <f>+I47+I48+I49</f>
        <v>-54.599999999999909</v>
      </c>
      <c r="K50" s="41" t="s">
        <v>47</v>
      </c>
      <c r="L50" s="42"/>
      <c r="M50" s="46"/>
      <c r="N50" s="42"/>
      <c r="O50" s="42"/>
      <c r="P50" s="42"/>
      <c r="Q50" s="42"/>
      <c r="R50" s="42"/>
      <c r="S50" s="47"/>
    </row>
    <row r="51" spans="2:19" x14ac:dyDescent="0.3">
      <c r="B51" s="23" t="s">
        <v>175</v>
      </c>
      <c r="C51" s="15">
        <v>0</v>
      </c>
      <c r="D51" s="15">
        <v>0</v>
      </c>
      <c r="E51" s="46">
        <v>96.245999999999995</v>
      </c>
      <c r="F51" s="18">
        <v>0</v>
      </c>
      <c r="G51" s="89">
        <v>0</v>
      </c>
      <c r="H51" s="89">
        <v>0</v>
      </c>
      <c r="I51" s="19">
        <v>0</v>
      </c>
      <c r="K51" s="41" t="s">
        <v>42</v>
      </c>
      <c r="L51" s="42">
        <v>43.622</v>
      </c>
      <c r="M51" s="46"/>
      <c r="N51" s="42"/>
      <c r="O51" s="42"/>
      <c r="P51" s="42"/>
      <c r="Q51" s="42">
        <v>169.797</v>
      </c>
      <c r="R51" s="42">
        <v>0</v>
      </c>
      <c r="S51" s="47">
        <v>0</v>
      </c>
    </row>
    <row r="52" spans="2:19" ht="15" thickBot="1" x14ac:dyDescent="0.35">
      <c r="B52" s="29" t="s">
        <v>85</v>
      </c>
      <c r="C52" s="17">
        <f t="shared" ref="C52:E52" si="30">+C46+C50+C51</f>
        <v>7.3260000000000076</v>
      </c>
      <c r="D52" s="17">
        <f t="shared" si="30"/>
        <v>0.78199999999999648</v>
      </c>
      <c r="E52" s="17">
        <f t="shared" si="30"/>
        <v>140.03900000000002</v>
      </c>
      <c r="F52" s="17">
        <f>+F46+F50+F51</f>
        <v>324.30700000000002</v>
      </c>
      <c r="G52" s="90">
        <f>+G46+G50+G51</f>
        <v>110.84000000000003</v>
      </c>
      <c r="H52" s="17">
        <f>+H46+H50+H51</f>
        <v>124.54000000000008</v>
      </c>
      <c r="I52" s="94">
        <f>+I46+I50+I51</f>
        <v>69.940000000000168</v>
      </c>
      <c r="K52" s="41" t="s">
        <v>48</v>
      </c>
      <c r="L52" s="42">
        <v>809.10299999999995</v>
      </c>
      <c r="M52" s="46">
        <v>1106.5840000000001</v>
      </c>
      <c r="N52" s="42">
        <v>1253.925</v>
      </c>
      <c r="O52" s="42">
        <f>849.003+965.382</f>
        <v>1814.385</v>
      </c>
      <c r="P52" s="42">
        <f>927.646+666.913</f>
        <v>1594.559</v>
      </c>
      <c r="Q52" s="42">
        <f>993.1+673.1</f>
        <v>1666.2</v>
      </c>
      <c r="R52" s="42">
        <f>1195.7+1337.6</f>
        <v>2533.3000000000002</v>
      </c>
      <c r="S52" s="47">
        <f>1495.9+3186</f>
        <v>4681.8999999999996</v>
      </c>
    </row>
    <row r="53" spans="2:19" ht="15" thickBot="1" x14ac:dyDescent="0.35">
      <c r="G53" s="48"/>
      <c r="H53" s="96"/>
      <c r="I53"/>
      <c r="K53" s="41" t="s">
        <v>180</v>
      </c>
      <c r="L53" s="42">
        <v>114.087</v>
      </c>
      <c r="M53" s="46">
        <v>7.3259999999999996</v>
      </c>
      <c r="N53" s="42">
        <v>0.78200000000000003</v>
      </c>
      <c r="O53" s="42">
        <v>140.03899999999999</v>
      </c>
      <c r="P53" s="42">
        <v>324.30700000000002</v>
      </c>
      <c r="Q53" s="42">
        <v>110.84</v>
      </c>
      <c r="R53" s="42">
        <v>124.5</v>
      </c>
      <c r="S53" s="47">
        <v>69.900000000000006</v>
      </c>
    </row>
    <row r="54" spans="2:19" ht="15" thickBot="1" x14ac:dyDescent="0.35">
      <c r="B54" s="141" t="s">
        <v>86</v>
      </c>
      <c r="C54" s="142"/>
      <c r="D54" s="142"/>
      <c r="E54" s="142"/>
      <c r="F54" s="142"/>
      <c r="G54" s="142"/>
      <c r="H54" s="142"/>
      <c r="I54" s="143"/>
      <c r="K54" s="41" t="s">
        <v>181</v>
      </c>
      <c r="L54" s="42">
        <v>213.56800000000001</v>
      </c>
      <c r="M54" s="46">
        <v>98.384</v>
      </c>
      <c r="N54" s="42">
        <v>96.441000000000003</v>
      </c>
      <c r="O54" s="42">
        <v>126.953</v>
      </c>
      <c r="P54" s="42">
        <v>106.13200000000001</v>
      </c>
      <c r="Q54" s="42">
        <v>180.48099999999999</v>
      </c>
      <c r="R54" s="42">
        <v>1499</v>
      </c>
      <c r="S54" s="47">
        <v>2846.1</v>
      </c>
    </row>
    <row r="55" spans="2:19" x14ac:dyDescent="0.3">
      <c r="B55" s="38" t="s">
        <v>1</v>
      </c>
      <c r="C55" s="39" t="s">
        <v>2</v>
      </c>
      <c r="D55" s="39" t="s">
        <v>161</v>
      </c>
      <c r="E55" s="39" t="s">
        <v>162</v>
      </c>
      <c r="F55" s="39" t="s">
        <v>164</v>
      </c>
      <c r="G55" s="86" t="s">
        <v>165</v>
      </c>
      <c r="H55" s="95" t="s">
        <v>189</v>
      </c>
      <c r="I55" s="87" t="s">
        <v>202</v>
      </c>
      <c r="K55" s="41" t="s">
        <v>163</v>
      </c>
      <c r="L55" s="42"/>
      <c r="M55" s="46">
        <v>27.533000000000001</v>
      </c>
      <c r="N55" s="42">
        <v>5.3999999999999999E-2</v>
      </c>
      <c r="O55" s="42">
        <v>2.4E-2</v>
      </c>
      <c r="P55" s="42">
        <v>0.17499999999999999</v>
      </c>
      <c r="Q55" s="42">
        <v>7.3999999999999996E-2</v>
      </c>
      <c r="R55" s="42">
        <v>0.115</v>
      </c>
      <c r="S55" s="47">
        <v>0</v>
      </c>
    </row>
    <row r="56" spans="2:19" x14ac:dyDescent="0.3">
      <c r="B56" s="23" t="s">
        <v>87</v>
      </c>
      <c r="C56" s="42">
        <f t="shared" ref="C56:H56" si="31">C47</f>
        <v>356.95400000000001</v>
      </c>
      <c r="D56" s="42">
        <f t="shared" si="31"/>
        <v>227.125</v>
      </c>
      <c r="E56" s="42">
        <f t="shared" si="31"/>
        <v>263.99900000000002</v>
      </c>
      <c r="F56" s="42">
        <f t="shared" si="31"/>
        <v>469.77800000000002</v>
      </c>
      <c r="G56" s="88">
        <f t="shared" si="31"/>
        <v>490.36700000000002</v>
      </c>
      <c r="H56" s="42">
        <f t="shared" si="31"/>
        <v>56.8</v>
      </c>
      <c r="I56" s="91">
        <f>I47</f>
        <v>34.9</v>
      </c>
      <c r="K56" s="41" t="s">
        <v>177</v>
      </c>
      <c r="L56" s="42"/>
      <c r="M56" s="46">
        <v>683.87400000000002</v>
      </c>
      <c r="N56" s="42">
        <v>698.69200000000001</v>
      </c>
      <c r="O56" s="42">
        <v>0</v>
      </c>
      <c r="P56" s="42">
        <v>0</v>
      </c>
      <c r="Q56" s="42">
        <v>0</v>
      </c>
      <c r="R56" s="42">
        <v>0</v>
      </c>
      <c r="S56" s="47">
        <v>0</v>
      </c>
    </row>
    <row r="57" spans="2:19" x14ac:dyDescent="0.3">
      <c r="B57" s="41" t="s">
        <v>88</v>
      </c>
      <c r="C57" s="43">
        <f>13.584-0.169</f>
        <v>13.414999999999999</v>
      </c>
      <c r="D57" s="43">
        <f>4.167-1.566</f>
        <v>2.601</v>
      </c>
      <c r="E57" s="43">
        <f>22.582-0.092</f>
        <v>22.490000000000002</v>
      </c>
      <c r="F57" s="43">
        <f>26.994-8.031</f>
        <v>18.963000000000001</v>
      </c>
      <c r="G57" s="97">
        <f>50.51-34.426</f>
        <v>16.083999999999996</v>
      </c>
      <c r="H57" s="43">
        <f>218.4-8.8</f>
        <v>209.6</v>
      </c>
      <c r="I57" s="99">
        <f>135.6-24.4</f>
        <v>111.19999999999999</v>
      </c>
      <c r="K57" s="41" t="s">
        <v>178</v>
      </c>
      <c r="L57" s="42"/>
      <c r="M57" s="46">
        <v>5.44</v>
      </c>
      <c r="N57" s="42">
        <v>39.121000000000002</v>
      </c>
      <c r="O57" s="42">
        <v>23.978999999999999</v>
      </c>
      <c r="P57" s="42">
        <v>24.503</v>
      </c>
      <c r="Q57" s="42">
        <v>33.026000000000003</v>
      </c>
      <c r="R57" s="42">
        <v>54.7</v>
      </c>
      <c r="S57" s="47">
        <v>66.8</v>
      </c>
    </row>
    <row r="58" spans="2:19" ht="15" thickBot="1" x14ac:dyDescent="0.35">
      <c r="B58" s="29" t="s">
        <v>89</v>
      </c>
      <c r="C58" s="54">
        <f>+C56-C57</f>
        <v>343.53899999999999</v>
      </c>
      <c r="D58" s="54">
        <f t="shared" ref="D58:G58" si="32">+D56-D57</f>
        <v>224.524</v>
      </c>
      <c r="E58" s="54">
        <f t="shared" si="32"/>
        <v>241.50900000000001</v>
      </c>
      <c r="F58" s="54">
        <f t="shared" si="32"/>
        <v>450.815</v>
      </c>
      <c r="G58" s="98">
        <f t="shared" si="32"/>
        <v>474.28300000000002</v>
      </c>
      <c r="H58" s="54">
        <f t="shared" ref="H58" si="33">+H56-H57</f>
        <v>-152.80000000000001</v>
      </c>
      <c r="I58" s="100">
        <f>+I56-I57</f>
        <v>-76.299999999999983</v>
      </c>
      <c r="K58" s="41" t="s">
        <v>49</v>
      </c>
      <c r="L58" s="42"/>
      <c r="M58" s="46">
        <v>57.213999999999999</v>
      </c>
      <c r="N58" s="42">
        <v>69.393000000000001</v>
      </c>
      <c r="O58" s="42">
        <v>59.402999999999999</v>
      </c>
      <c r="P58" s="42">
        <v>64.846000000000004</v>
      </c>
      <c r="Q58" s="42">
        <v>64.94</v>
      </c>
      <c r="R58" s="42">
        <v>164.4</v>
      </c>
      <c r="S58" s="47">
        <v>86</v>
      </c>
    </row>
    <row r="59" spans="2:19" ht="15" thickBot="1" x14ac:dyDescent="0.35">
      <c r="G59" s="48"/>
      <c r="H59" s="72"/>
      <c r="I59" s="48"/>
      <c r="K59" s="41" t="s">
        <v>50</v>
      </c>
      <c r="L59" s="42"/>
      <c r="M59" s="46">
        <v>12.148</v>
      </c>
      <c r="N59" s="42">
        <v>25.103000000000002</v>
      </c>
      <c r="O59" s="42">
        <v>25.297999999999998</v>
      </c>
      <c r="P59" s="42">
        <v>47.502000000000002</v>
      </c>
      <c r="Q59" s="42">
        <v>57.12</v>
      </c>
      <c r="R59" s="42">
        <v>75.8</v>
      </c>
      <c r="S59" s="47">
        <v>46.4</v>
      </c>
    </row>
    <row r="60" spans="2:19" x14ac:dyDescent="0.3">
      <c r="B60" s="38" t="s">
        <v>160</v>
      </c>
      <c r="C60" s="39" t="s">
        <v>2</v>
      </c>
      <c r="D60" s="39" t="s">
        <v>161</v>
      </c>
      <c r="E60" s="39" t="s">
        <v>162</v>
      </c>
      <c r="F60" s="39" t="s">
        <v>164</v>
      </c>
      <c r="G60" s="101" t="s">
        <v>165</v>
      </c>
      <c r="H60" s="95" t="s">
        <v>189</v>
      </c>
      <c r="I60" s="87" t="s">
        <v>202</v>
      </c>
      <c r="K60" s="25" t="s">
        <v>51</v>
      </c>
      <c r="L60" s="16">
        <f t="shared" ref="L60:Q60" si="34">SUM(L49:L59)</f>
        <v>2598.5590000000002</v>
      </c>
      <c r="M60" s="16">
        <f t="shared" si="34"/>
        <v>2077.7230000000004</v>
      </c>
      <c r="N60" s="16">
        <f t="shared" si="34"/>
        <v>2215.0380000000005</v>
      </c>
      <c r="O60" s="16">
        <f t="shared" si="34"/>
        <v>2199.6399999999994</v>
      </c>
      <c r="P60" s="16">
        <f t="shared" si="34"/>
        <v>2205.6650000000004</v>
      </c>
      <c r="Q60" s="16">
        <f t="shared" si="34"/>
        <v>2288.85</v>
      </c>
      <c r="R60" s="16">
        <f t="shared" ref="R60" si="35">SUM(R49:R59)</f>
        <v>4456.9149999999991</v>
      </c>
      <c r="S60" s="80">
        <f>SUM(S49:S59)</f>
        <v>7805.2999999999984</v>
      </c>
    </row>
    <row r="61" spans="2:19" x14ac:dyDescent="0.3">
      <c r="B61" s="41" t="s">
        <v>90</v>
      </c>
      <c r="C61" s="42">
        <v>11117085</v>
      </c>
      <c r="D61" s="42">
        <v>11117085</v>
      </c>
      <c r="E61" s="42">
        <v>15431397</v>
      </c>
      <c r="F61" s="42">
        <v>15431397</v>
      </c>
      <c r="G61" s="102">
        <v>16339397</v>
      </c>
      <c r="H61" s="104">
        <v>17441146</v>
      </c>
      <c r="I61" s="103">
        <v>20937661</v>
      </c>
      <c r="J61" s="48"/>
      <c r="K61" s="25" t="s">
        <v>96</v>
      </c>
      <c r="L61" s="16">
        <f>2598.559-1859.879</f>
        <v>738.68000000000029</v>
      </c>
      <c r="M61" s="16">
        <f t="shared" ref="M61:R61" si="36">M60-M30-M11</f>
        <v>505.67200000000014</v>
      </c>
      <c r="N61" s="16">
        <f t="shared" si="36"/>
        <v>556.16800000000046</v>
      </c>
      <c r="O61" s="16">
        <f t="shared" si="36"/>
        <v>938.81499999999949</v>
      </c>
      <c r="P61" s="16">
        <f t="shared" si="36"/>
        <v>1090.7900000000004</v>
      </c>
      <c r="Q61" s="16">
        <f t="shared" si="36"/>
        <v>1410.6009999999994</v>
      </c>
      <c r="R61" s="16">
        <f t="shared" si="36"/>
        <v>2875.0149999999994</v>
      </c>
      <c r="S61" s="80">
        <f>S60-S30-S11</f>
        <v>5361.7999999999975</v>
      </c>
    </row>
    <row r="62" spans="2:19" x14ac:dyDescent="0.3">
      <c r="B62" s="41" t="s">
        <v>91</v>
      </c>
      <c r="C62" s="42">
        <f>C61*M68/1000000</f>
        <v>922.71805500000005</v>
      </c>
      <c r="D62" s="42">
        <f>D61*N68/1000000</f>
        <v>1377.4068315</v>
      </c>
      <c r="E62" s="42">
        <f>E61*O68/1000000</f>
        <v>2475.9676486499998</v>
      </c>
      <c r="F62" s="42">
        <f>F61*P68/1000000</f>
        <v>1964.4168380999999</v>
      </c>
      <c r="G62" s="88">
        <f>G61*Q68/1000000</f>
        <v>9613.2842249500009</v>
      </c>
      <c r="H62" s="42">
        <f t="shared" ref="H62" si="37">H61*R68/1000000</f>
        <v>23760.945253099999</v>
      </c>
      <c r="I62" s="92">
        <f>I61*S68/10^6</f>
        <v>18670.1123137</v>
      </c>
      <c r="K62" s="40" t="s">
        <v>176</v>
      </c>
      <c r="L62" s="18"/>
      <c r="M62" s="18">
        <v>0</v>
      </c>
      <c r="N62" s="18">
        <v>0</v>
      </c>
      <c r="O62" s="18">
        <v>0</v>
      </c>
      <c r="P62" s="18">
        <v>31.271999999999998</v>
      </c>
      <c r="Q62" s="18">
        <v>1.744</v>
      </c>
      <c r="R62" s="42">
        <v>0</v>
      </c>
      <c r="S62" s="45">
        <v>0</v>
      </c>
    </row>
    <row r="63" spans="2:19" x14ac:dyDescent="0.3">
      <c r="B63" s="41" t="s">
        <v>92</v>
      </c>
      <c r="C63" s="42">
        <f>M12</f>
        <v>951.59300000000007</v>
      </c>
      <c r="D63" s="42">
        <f>N12</f>
        <v>866.495</v>
      </c>
      <c r="E63" s="42">
        <f>O12</f>
        <v>603.90300000000002</v>
      </c>
      <c r="F63" s="42">
        <f>P12</f>
        <v>546.81299999999999</v>
      </c>
      <c r="G63" s="88">
        <f>Q12</f>
        <v>46.458999999999996</v>
      </c>
      <c r="H63" s="42">
        <f t="shared" ref="H63" si="38">R12</f>
        <v>406.59999999999997</v>
      </c>
      <c r="I63" s="91">
        <f>S12</f>
        <v>466</v>
      </c>
      <c r="K63" s="25" t="s">
        <v>52</v>
      </c>
      <c r="L63" s="16">
        <f>SUM(L47,L60)</f>
        <v>11550.212</v>
      </c>
      <c r="M63" s="16">
        <f>SUM(M47,M60)</f>
        <v>2499.9670000000006</v>
      </c>
      <c r="N63" s="16">
        <f>SUM(N47,N60)</f>
        <v>2562.0800000000004</v>
      </c>
      <c r="O63" s="16">
        <f>SUM(O47,O60)</f>
        <v>2987.3289999999997</v>
      </c>
      <c r="P63" s="16">
        <f>SUM(P47,P60)+P62</f>
        <v>3128.8900000000003</v>
      </c>
      <c r="Q63" s="16">
        <f>SUM(Q47,Q60)+Q62</f>
        <v>3260.788</v>
      </c>
      <c r="R63" s="16">
        <f>SUM(R47,R60)+R62</f>
        <v>5776.6149999999998</v>
      </c>
      <c r="S63" s="80">
        <f>SUM(S47,S60)+S62</f>
        <v>9298.0999999999985</v>
      </c>
    </row>
    <row r="64" spans="2:19" ht="15" thickBot="1" x14ac:dyDescent="0.35">
      <c r="B64" s="41" t="s">
        <v>93</v>
      </c>
      <c r="C64" s="42">
        <f t="shared" ref="C64:I64" si="39">M53+M54</f>
        <v>105.71</v>
      </c>
      <c r="D64" s="42">
        <f t="shared" si="39"/>
        <v>97.222999999999999</v>
      </c>
      <c r="E64" s="42">
        <f t="shared" si="39"/>
        <v>266.99199999999996</v>
      </c>
      <c r="F64" s="42">
        <f t="shared" si="39"/>
        <v>430.43900000000002</v>
      </c>
      <c r="G64" s="88">
        <f t="shared" si="39"/>
        <v>291.32100000000003</v>
      </c>
      <c r="H64" s="42">
        <f t="shared" si="39"/>
        <v>1623.5</v>
      </c>
      <c r="I64" s="91">
        <f t="shared" si="39"/>
        <v>2916</v>
      </c>
      <c r="K64" s="55" t="s">
        <v>187</v>
      </c>
      <c r="L64" s="56"/>
      <c r="M64" s="56">
        <f t="shared" ref="M64:R64" si="40">M63-M31</f>
        <v>-3.9999999999054126E-3</v>
      </c>
      <c r="N64" s="56">
        <f t="shared" si="40"/>
        <v>0</v>
      </c>
      <c r="O64" s="56">
        <f t="shared" si="40"/>
        <v>0</v>
      </c>
      <c r="P64" s="56">
        <f t="shared" si="40"/>
        <v>-4.500000000007276E-2</v>
      </c>
      <c r="Q64" s="56">
        <f t="shared" si="40"/>
        <v>-3.0000000001564331E-3</v>
      </c>
      <c r="R64" s="56">
        <f t="shared" si="40"/>
        <v>3.9999999999054126E-3</v>
      </c>
      <c r="S64" s="81">
        <f>S63-S31</f>
        <v>-0.1000000000003638</v>
      </c>
    </row>
    <row r="65" spans="2:20" ht="15" thickBot="1" x14ac:dyDescent="0.35">
      <c r="B65" s="53" t="s">
        <v>94</v>
      </c>
      <c r="C65" s="17">
        <f>C62+C63-C64</f>
        <v>1768.6010550000001</v>
      </c>
      <c r="D65" s="17">
        <f t="shared" ref="D65:G65" si="41">D62+D63-D64</f>
        <v>2146.6788314999999</v>
      </c>
      <c r="E65" s="17">
        <f t="shared" si="41"/>
        <v>2812.8786486499994</v>
      </c>
      <c r="F65" s="17">
        <f t="shared" si="41"/>
        <v>2080.7908381000002</v>
      </c>
      <c r="G65" s="90">
        <f t="shared" si="41"/>
        <v>9368.4222249500017</v>
      </c>
      <c r="H65" s="17">
        <f t="shared" ref="H65:I65" si="42">H62+H63-H64</f>
        <v>22544.045253099997</v>
      </c>
      <c r="I65" s="20">
        <f t="shared" si="42"/>
        <v>16220.1123137</v>
      </c>
      <c r="K65" s="48"/>
      <c r="M65" s="48"/>
      <c r="N65" s="48"/>
      <c r="R65" s="48"/>
    </row>
    <row r="66" spans="2:20" ht="15" thickBot="1" x14ac:dyDescent="0.35">
      <c r="K66" s="132" t="s">
        <v>59</v>
      </c>
      <c r="L66" s="133"/>
      <c r="M66" s="133"/>
      <c r="N66" s="133"/>
      <c r="O66" s="133"/>
      <c r="P66" s="133"/>
      <c r="Q66" s="133"/>
      <c r="R66" s="133"/>
      <c r="S66" s="134"/>
    </row>
    <row r="67" spans="2:20" x14ac:dyDescent="0.3">
      <c r="K67" s="75" t="s">
        <v>60</v>
      </c>
      <c r="L67" s="76"/>
      <c r="M67" s="77" t="s">
        <v>2</v>
      </c>
      <c r="N67" s="77" t="s">
        <v>161</v>
      </c>
      <c r="O67" s="77" t="s">
        <v>162</v>
      </c>
      <c r="P67" s="77" t="s">
        <v>164</v>
      </c>
      <c r="Q67" s="77" t="s">
        <v>165</v>
      </c>
      <c r="R67" s="77" t="s">
        <v>189</v>
      </c>
      <c r="S67" s="109" t="s">
        <v>202</v>
      </c>
    </row>
    <row r="68" spans="2:20" x14ac:dyDescent="0.3">
      <c r="K68" s="41" t="s">
        <v>61</v>
      </c>
      <c r="L68" s="42"/>
      <c r="M68" s="60">
        <v>83</v>
      </c>
      <c r="N68" s="60">
        <v>123.9</v>
      </c>
      <c r="O68" s="61">
        <v>160.44999999999999</v>
      </c>
      <c r="P68" s="60">
        <v>127.3</v>
      </c>
      <c r="Q68" s="61">
        <v>588.35</v>
      </c>
      <c r="R68" s="61">
        <v>1362.35</v>
      </c>
      <c r="S68" s="120">
        <v>891.7</v>
      </c>
    </row>
    <row r="69" spans="2:20" x14ac:dyDescent="0.3">
      <c r="K69" s="51" t="s">
        <v>62</v>
      </c>
      <c r="L69" s="42"/>
      <c r="M69" s="79">
        <f t="shared" ref="M69:R69" si="43">C39</f>
        <v>19.920000000000002</v>
      </c>
      <c r="N69" s="79">
        <f t="shared" si="43"/>
        <v>1.79</v>
      </c>
      <c r="O69" s="79">
        <f t="shared" si="43"/>
        <v>8.1199999999999992</v>
      </c>
      <c r="P69" s="79">
        <f t="shared" si="43"/>
        <v>20.02</v>
      </c>
      <c r="Q69" s="79">
        <f t="shared" si="43"/>
        <v>22.52</v>
      </c>
      <c r="R69" s="79">
        <f t="shared" si="43"/>
        <v>35.270000000000003</v>
      </c>
      <c r="S69" s="105">
        <f>I39</f>
        <v>67.87</v>
      </c>
      <c r="T69" s="44" t="s">
        <v>201</v>
      </c>
    </row>
    <row r="70" spans="2:20" x14ac:dyDescent="0.3">
      <c r="K70" s="51" t="s">
        <v>63</v>
      </c>
      <c r="L70" s="42"/>
      <c r="M70" s="57">
        <f>M8/(C61/1000000)</f>
        <v>80.915365853548849</v>
      </c>
      <c r="N70" s="57">
        <f>N8/(D61/1000000)</f>
        <v>80.178751894044169</v>
      </c>
      <c r="O70" s="57">
        <f>O8/(E61/1000000)</f>
        <v>105.53944014271683</v>
      </c>
      <c r="P70" s="57">
        <f>P8/(F61/1000000)</f>
        <v>128.50560451526198</v>
      </c>
      <c r="Q70" s="57">
        <f>Q8/(G61/1000000)</f>
        <v>143.26562969245435</v>
      </c>
      <c r="R70" s="57">
        <f t="shared" ref="R70" si="44">R8/(H61/1000000)</f>
        <v>236.15483753189153</v>
      </c>
      <c r="S70" s="105">
        <f>S8/(I61/1000000)</f>
        <v>321.45902066138143</v>
      </c>
    </row>
    <row r="71" spans="2:20" x14ac:dyDescent="0.3">
      <c r="G71" s="131"/>
      <c r="K71" s="41" t="s">
        <v>64</v>
      </c>
      <c r="L71" s="42"/>
      <c r="M71" s="62">
        <v>2.25</v>
      </c>
      <c r="N71" s="62">
        <v>2.5</v>
      </c>
      <c r="O71" s="62">
        <v>2.25</v>
      </c>
      <c r="P71" s="62">
        <v>2.25</v>
      </c>
      <c r="Q71" s="62">
        <v>2</v>
      </c>
      <c r="R71" s="62">
        <v>2</v>
      </c>
      <c r="S71" s="106" t="s">
        <v>199</v>
      </c>
    </row>
    <row r="72" spans="2:20" x14ac:dyDescent="0.3">
      <c r="K72" s="41" t="s">
        <v>65</v>
      </c>
      <c r="L72" s="42"/>
      <c r="M72" s="58">
        <f t="shared" ref="M72:Q72" si="45">M68/M69</f>
        <v>4.1666666666666661</v>
      </c>
      <c r="N72" s="58">
        <f t="shared" si="45"/>
        <v>69.217877094972067</v>
      </c>
      <c r="O72" s="58">
        <f t="shared" si="45"/>
        <v>19.759852216748769</v>
      </c>
      <c r="P72" s="58">
        <f t="shared" si="45"/>
        <v>6.3586413586413588</v>
      </c>
      <c r="Q72" s="58">
        <f t="shared" si="45"/>
        <v>26.125666074600357</v>
      </c>
      <c r="R72" s="58">
        <f t="shared" ref="R72" si="46">R68/R69</f>
        <v>38.626311312730358</v>
      </c>
      <c r="S72" s="107">
        <f>S68/S69</f>
        <v>13.138352733166347</v>
      </c>
    </row>
    <row r="73" spans="2:20" x14ac:dyDescent="0.3">
      <c r="G73" s="131"/>
      <c r="K73" s="41" t="s">
        <v>66</v>
      </c>
      <c r="L73" s="42"/>
      <c r="M73" s="58">
        <f t="shared" ref="M73:Q73" si="47">M68/M70</f>
        <v>1.0257631430626439</v>
      </c>
      <c r="N73" s="58">
        <f t="shared" si="47"/>
        <v>1.5452971900053178</v>
      </c>
      <c r="O73" s="58">
        <f t="shared" si="47"/>
        <v>1.5202847369952861</v>
      </c>
      <c r="P73" s="58">
        <f t="shared" si="47"/>
        <v>0.99061827287759419</v>
      </c>
      <c r="Q73" s="58">
        <f t="shared" si="47"/>
        <v>4.1067072490659484</v>
      </c>
      <c r="R73" s="58">
        <f t="shared" ref="R73" si="48">R68/R70</f>
        <v>5.7688845769082384</v>
      </c>
      <c r="S73" s="107">
        <f>S68/S70</f>
        <v>2.7739150021840548</v>
      </c>
    </row>
    <row r="74" spans="2:20" x14ac:dyDescent="0.3">
      <c r="K74" s="41" t="s">
        <v>67</v>
      </c>
      <c r="L74" s="42"/>
      <c r="M74" s="58">
        <f>C65/C17</f>
        <v>3.6221709972535749</v>
      </c>
      <c r="N74" s="58">
        <f>D65/D17</f>
        <v>13.426896787570588</v>
      </c>
      <c r="O74" s="58">
        <f>E65/E17</f>
        <v>12.676003279995369</v>
      </c>
      <c r="P74" s="58">
        <f>F65/F17</f>
        <v>6.5601804565159059</v>
      </c>
      <c r="Q74" s="58">
        <f>G65/G17</f>
        <v>21.256939676281934</v>
      </c>
      <c r="R74" s="58">
        <f t="shared" ref="R74" si="49">H65/H17</f>
        <v>28.906328058853674</v>
      </c>
      <c r="S74" s="110">
        <f>I65/I17</f>
        <v>11.107383629185781</v>
      </c>
    </row>
    <row r="75" spans="2:20" x14ac:dyDescent="0.3">
      <c r="K75" s="51" t="s">
        <v>68</v>
      </c>
      <c r="L75" s="35"/>
      <c r="M75" s="50">
        <f>C32/M8</f>
        <v>0.24622502759734669</v>
      </c>
      <c r="N75" s="50">
        <f>D32/N8</f>
        <v>2.2437774442028536E-2</v>
      </c>
      <c r="O75" s="50">
        <f>E32/O8</f>
        <v>5.8422923442593602E-2</v>
      </c>
      <c r="P75" s="50">
        <f>F32/P8</f>
        <v>0.15577848141799827</v>
      </c>
      <c r="Q75" s="50">
        <f>G32/Q8</f>
        <v>0.1495138140711546</v>
      </c>
      <c r="R75" s="50">
        <f t="shared" ref="R75" si="50">H32/R8</f>
        <v>0.15353945592550869</v>
      </c>
      <c r="S75" s="119">
        <f>I32/S8</f>
        <v>0.19822898404302741</v>
      </c>
    </row>
    <row r="76" spans="2:20" x14ac:dyDescent="0.3">
      <c r="K76" s="51" t="s">
        <v>69</v>
      </c>
      <c r="L76" s="35"/>
      <c r="M76" s="50">
        <f>(C17-C21)/M13</f>
        <v>0.48438766272954559</v>
      </c>
      <c r="N76" s="50">
        <f>(D17-D21)/N13</f>
        <v>0.13963530076062058</v>
      </c>
      <c r="O76" s="50">
        <f>(E17-E21)/O13</f>
        <v>0.11100628785105636</v>
      </c>
      <c r="P76" s="50">
        <f>(F17-F21)/P13</f>
        <v>0.13515436481534832</v>
      </c>
      <c r="Q76" s="50">
        <f>(G17-G21)/Q13</f>
        <v>0.1633087685337761</v>
      </c>
      <c r="R76" s="50">
        <f t="shared" ref="R76" si="51">(H17-H21)/R13</f>
        <v>0.16632850272640967</v>
      </c>
      <c r="S76" s="119">
        <f>(I17-I21)/S13</f>
        <v>0.19643456314645433</v>
      </c>
    </row>
    <row r="77" spans="2:20" x14ac:dyDescent="0.3">
      <c r="K77" s="41" t="s">
        <v>70</v>
      </c>
      <c r="L77" s="42"/>
      <c r="M77" s="58">
        <f t="shared" ref="M77:R77" si="52">M12/M8</f>
        <v>1.0578627147340371</v>
      </c>
      <c r="N77" s="58">
        <f t="shared" si="52"/>
        <v>0.97211096825728049</v>
      </c>
      <c r="O77" s="58">
        <f t="shared" si="52"/>
        <v>0.37080634475424301</v>
      </c>
      <c r="P77" s="58">
        <f t="shared" si="52"/>
        <v>0.27574745804507361</v>
      </c>
      <c r="Q77" s="58">
        <f t="shared" si="52"/>
        <v>1.9846860617017403E-2</v>
      </c>
      <c r="R77" s="58">
        <f t="shared" si="52"/>
        <v>9.8717809581454458E-2</v>
      </c>
      <c r="S77" s="107">
        <f>S12/S8</f>
        <v>6.9236026505809289E-2</v>
      </c>
    </row>
    <row r="78" spans="2:20" x14ac:dyDescent="0.3">
      <c r="K78" s="41" t="s">
        <v>71</v>
      </c>
      <c r="L78" s="42"/>
      <c r="M78" s="58">
        <f t="shared" ref="M78:R78" si="53">(M12-M53-M54)/M8</f>
        <v>0.94034748755757092</v>
      </c>
      <c r="N78" s="58">
        <f t="shared" si="53"/>
        <v>0.86303758102841288</v>
      </c>
      <c r="O78" s="58">
        <f t="shared" si="53"/>
        <v>0.20686887864027298</v>
      </c>
      <c r="P78" s="58">
        <f t="shared" si="53"/>
        <v>5.8685208073943722E-2</v>
      </c>
      <c r="Q78" s="58">
        <f t="shared" si="53"/>
        <v>-0.10460281074504651</v>
      </c>
      <c r="R78" s="58">
        <f t="shared" si="53"/>
        <v>-0.29544934205526796</v>
      </c>
      <c r="S78" s="107">
        <f>(S12-S53-S54)/S8</f>
        <v>-0.36400915223011326</v>
      </c>
    </row>
    <row r="79" spans="2:20" x14ac:dyDescent="0.3">
      <c r="K79" s="41" t="s">
        <v>72</v>
      </c>
      <c r="L79" s="42"/>
      <c r="M79" s="59">
        <f>M71/M68</f>
        <v>2.710843373493976E-2</v>
      </c>
      <c r="N79" s="59">
        <f t="shared" ref="N79:S79" si="54">N71/N68</f>
        <v>2.0177562550443905E-2</v>
      </c>
      <c r="O79" s="59">
        <f t="shared" si="54"/>
        <v>1.4023060143346838E-2</v>
      </c>
      <c r="P79" s="59">
        <f t="shared" si="54"/>
        <v>1.767478397486253E-2</v>
      </c>
      <c r="Q79" s="59">
        <f t="shared" si="54"/>
        <v>3.3993371292597944E-3</v>
      </c>
      <c r="R79" s="59">
        <f t="shared" si="54"/>
        <v>1.4680515286086542E-3</v>
      </c>
      <c r="S79" s="111" t="s">
        <v>199</v>
      </c>
    </row>
    <row r="80" spans="2:20" x14ac:dyDescent="0.3">
      <c r="K80" s="41" t="s">
        <v>73</v>
      </c>
      <c r="L80" s="42"/>
      <c r="M80" s="58">
        <f>AVERAGE(M52:M52)/C6*365</f>
        <v>204.63226264059179</v>
      </c>
      <c r="N80" s="58">
        <f t="shared" ref="N80:S80" si="55">AVERAGE(M52:N52)/D6*365</f>
        <v>232.56949396945126</v>
      </c>
      <c r="O80" s="58">
        <f t="shared" si="55"/>
        <v>276.00005471041919</v>
      </c>
      <c r="P80" s="58">
        <f t="shared" si="55"/>
        <v>283.43401605754212</v>
      </c>
      <c r="Q80" s="58">
        <f t="shared" si="55"/>
        <v>235.26957784287913</v>
      </c>
      <c r="R80" s="58">
        <f t="shared" si="55"/>
        <v>183.32506099602926</v>
      </c>
      <c r="S80" s="107">
        <f t="shared" si="55"/>
        <v>199.29983350991373</v>
      </c>
    </row>
    <row r="81" spans="11:19" x14ac:dyDescent="0.3">
      <c r="K81" s="41" t="s">
        <v>74</v>
      </c>
      <c r="L81" s="42"/>
      <c r="M81" s="58">
        <f t="shared" ref="M81:R81" si="56">AVERAGE(L24:M24)/SUM(C12:C13)*365</f>
        <v>2023.3821412297675</v>
      </c>
      <c r="N81" s="58">
        <f t="shared" si="56"/>
        <v>1222.0413749204329</v>
      </c>
      <c r="O81" s="58">
        <f t="shared" si="56"/>
        <v>901.08898256098314</v>
      </c>
      <c r="P81" s="58">
        <f t="shared" si="56"/>
        <v>482.16715976331358</v>
      </c>
      <c r="Q81" s="58">
        <f t="shared" si="56"/>
        <v>505.68231842133133</v>
      </c>
      <c r="R81" s="58">
        <f t="shared" si="56"/>
        <v>642.1384799100872</v>
      </c>
      <c r="S81" s="107">
        <f>AVERAGE(R24:S24)/SUM(I12:I13)*365</f>
        <v>796.63412322274883</v>
      </c>
    </row>
    <row r="82" spans="11:19" x14ac:dyDescent="0.3">
      <c r="K82" s="41" t="s">
        <v>75</v>
      </c>
      <c r="L82" s="42"/>
      <c r="M82" s="58">
        <f>AVERAGE(M49:M49)/C6*365</f>
        <v>14.649559225858749</v>
      </c>
      <c r="N82" s="58">
        <f t="shared" ref="N82:S82" si="57">AVERAGE(M49:N49)/SUM(D12:D13)*365</f>
        <v>116.95693246918582</v>
      </c>
      <c r="O82" s="58">
        <f t="shared" si="57"/>
        <v>33.340425437309356</v>
      </c>
      <c r="P82" s="58">
        <f t="shared" si="57"/>
        <v>32.238891213250184</v>
      </c>
      <c r="Q82" s="58">
        <f t="shared" si="57"/>
        <v>30.210283389821534</v>
      </c>
      <c r="R82" s="58">
        <f t="shared" si="57"/>
        <v>5.8826636695701042</v>
      </c>
      <c r="S82" s="107">
        <f t="shared" si="57"/>
        <v>4.6014218009478673</v>
      </c>
    </row>
    <row r="83" spans="11:19" x14ac:dyDescent="0.3">
      <c r="K83" s="51" t="s">
        <v>76</v>
      </c>
      <c r="L83" s="42"/>
      <c r="M83" s="37">
        <f t="shared" ref="M83:O83" si="58">(M82+M80-M81)</f>
        <v>-1804.1003193633169</v>
      </c>
      <c r="N83" s="37">
        <f t="shared" si="58"/>
        <v>-872.51494848179573</v>
      </c>
      <c r="O83" s="37">
        <f t="shared" si="58"/>
        <v>-591.74850241325453</v>
      </c>
      <c r="P83" s="37">
        <f>(P82+P80-P81)</f>
        <v>-166.4942524925213</v>
      </c>
      <c r="Q83" s="37">
        <f>(Q82+Q80-Q81)</f>
        <v>-240.20245718863066</v>
      </c>
      <c r="R83" s="37">
        <f>(R82+R80-R81)</f>
        <v>-452.93075524448784</v>
      </c>
      <c r="S83" s="121">
        <f>(S82+S80-S81)</f>
        <v>-592.7328679118873</v>
      </c>
    </row>
    <row r="84" spans="11:19" x14ac:dyDescent="0.3">
      <c r="K84" s="41" t="s">
        <v>77</v>
      </c>
      <c r="L84" s="42"/>
      <c r="M84" s="58">
        <f>AVERAGE(M61:M61)/C6*365</f>
        <v>93.51012260614047</v>
      </c>
      <c r="N84" s="58">
        <f t="shared" ref="N84:R84" si="59">AVERAGE(M61:N61)/D6*365</f>
        <v>104.61794107818368</v>
      </c>
      <c r="O84" s="58">
        <f t="shared" si="59"/>
        <v>134.47643484235513</v>
      </c>
      <c r="P84" s="58">
        <f t="shared" si="59"/>
        <v>168.74994020449378</v>
      </c>
      <c r="Q84" s="58">
        <f t="shared" si="59"/>
        <v>180.47982221009806</v>
      </c>
      <c r="R84" s="58">
        <f t="shared" si="59"/>
        <v>187.08437066449784</v>
      </c>
      <c r="S84" s="107">
        <f>AVERAGE(R61:S61)/I6*365</f>
        <v>227.51910662933241</v>
      </c>
    </row>
    <row r="85" spans="11:19" ht="15" thickBot="1" x14ac:dyDescent="0.35">
      <c r="K85" s="30" t="s">
        <v>78</v>
      </c>
      <c r="L85" s="56"/>
      <c r="M85" s="108">
        <f t="shared" ref="M85:R85" si="60">C22/AVERAGE(L12:M12)</f>
        <v>0.15074524073120799</v>
      </c>
      <c r="N85" s="108">
        <f t="shared" si="60"/>
        <v>0.12896955482902916</v>
      </c>
      <c r="O85" s="108">
        <f t="shared" si="60"/>
        <v>0.1255374395231767</v>
      </c>
      <c r="P85" s="108">
        <f t="shared" si="60"/>
        <v>0.1466912774307475</v>
      </c>
      <c r="Q85" s="108">
        <f t="shared" si="60"/>
        <v>0.15873326231475615</v>
      </c>
      <c r="R85" s="108">
        <f t="shared" si="60"/>
        <v>0.11124378944022743</v>
      </c>
      <c r="S85" s="122">
        <f>I22/AVERAGE(R12:S12)</f>
        <v>0.14462525785010316</v>
      </c>
    </row>
  </sheetData>
  <mergeCells count="6">
    <mergeCell ref="K66:S66"/>
    <mergeCell ref="B2:S2"/>
    <mergeCell ref="K4:S4"/>
    <mergeCell ref="B4:I4"/>
    <mergeCell ref="B44:I44"/>
    <mergeCell ref="B54:I54"/>
  </mergeCells>
  <pageMargins left="0.7" right="0.7" top="0.75" bottom="0.75" header="0.3" footer="0.3"/>
  <pageSetup orientation="portrait" r:id="rId1"/>
  <ignoredErrors>
    <ignoredError sqref="N80:N82 O81:Q82 R81:R82 M81" formulaRange="1"/>
    <ignoredError sqref="R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52"/>
  <sheetViews>
    <sheetView workbookViewId="0">
      <selection activeCell="K19" sqref="K19"/>
    </sheetView>
  </sheetViews>
  <sheetFormatPr defaultColWidth="8.6640625" defaultRowHeight="14.4" x14ac:dyDescent="0.3"/>
  <cols>
    <col min="1" max="1" width="20.44140625" bestFit="1" customWidth="1"/>
    <col min="4" max="4" width="10.109375" bestFit="1" customWidth="1"/>
    <col min="8" max="8" width="20.109375" bestFit="1" customWidth="1"/>
    <col min="11" max="11" width="12" bestFit="1" customWidth="1"/>
  </cols>
  <sheetData>
    <row r="3" spans="1:13" ht="15" thickBot="1" x14ac:dyDescent="0.35">
      <c r="B3" t="s">
        <v>2</v>
      </c>
      <c r="C3" t="s">
        <v>2</v>
      </c>
      <c r="D3" t="s">
        <v>2</v>
      </c>
      <c r="E3" t="s">
        <v>2</v>
      </c>
      <c r="F3" t="s">
        <v>2</v>
      </c>
    </row>
    <row r="4" spans="1:13" x14ac:dyDescent="0.3">
      <c r="A4" s="11" t="s">
        <v>0</v>
      </c>
      <c r="B4" t="s">
        <v>126</v>
      </c>
      <c r="C4" t="s">
        <v>127</v>
      </c>
      <c r="D4" t="s">
        <v>130</v>
      </c>
      <c r="E4" t="s">
        <v>128</v>
      </c>
      <c r="F4" t="s">
        <v>131</v>
      </c>
      <c r="H4" s="7" t="s">
        <v>132</v>
      </c>
      <c r="I4" t="s">
        <v>126</v>
      </c>
      <c r="J4" t="s">
        <v>127</v>
      </c>
      <c r="K4" t="s">
        <v>130</v>
      </c>
      <c r="L4" t="s">
        <v>128</v>
      </c>
      <c r="M4" t="s">
        <v>131</v>
      </c>
    </row>
    <row r="5" spans="1:13" x14ac:dyDescent="0.3">
      <c r="A5" s="8" t="s">
        <v>152</v>
      </c>
      <c r="B5" s="2" t="e">
        <f>#REF!</f>
        <v>#REF!</v>
      </c>
      <c r="C5">
        <v>58100.9</v>
      </c>
      <c r="D5">
        <f>5436762300/10^6</f>
        <v>5436.7623000000003</v>
      </c>
      <c r="H5" s="8" t="s">
        <v>133</v>
      </c>
      <c r="I5" t="e">
        <f>#REF!</f>
        <v>#REF!</v>
      </c>
      <c r="J5">
        <v>31174</v>
      </c>
      <c r="K5">
        <f>5769088987/10^6</f>
        <v>5769.0889870000001</v>
      </c>
    </row>
    <row r="6" spans="1:13" x14ac:dyDescent="0.3">
      <c r="A6" s="8" t="s">
        <v>153</v>
      </c>
      <c r="B6" s="2" t="e">
        <f>#REF!</f>
        <v>#REF!</v>
      </c>
      <c r="C6">
        <v>42197.599999999999</v>
      </c>
      <c r="D6">
        <f>1265968804/10^6</f>
        <v>1265.9688040000001</v>
      </c>
      <c r="H6" s="8" t="s">
        <v>55</v>
      </c>
      <c r="I6" t="e">
        <f>#REF!</f>
        <v>#REF!</v>
      </c>
      <c r="J6">
        <v>217.8</v>
      </c>
    </row>
    <row r="7" spans="1:13" x14ac:dyDescent="0.3">
      <c r="A7" s="9" t="s">
        <v>129</v>
      </c>
      <c r="B7" s="13" t="e">
        <f t="shared" ref="B7" si="0">((B5/B6)^(1/3)-1)</f>
        <v>#REF!</v>
      </c>
      <c r="C7" s="13">
        <f>((C5/C6)^(1/3)-1)</f>
        <v>0.11249577314211812</v>
      </c>
      <c r="D7" s="13">
        <f t="shared" ref="D7:F7" si="1">((D5/D6)^(1/3)-1)</f>
        <v>0.62544563006467313</v>
      </c>
      <c r="E7" s="13" t="e">
        <f t="shared" si="1"/>
        <v>#DIV/0!</v>
      </c>
      <c r="F7" s="13" t="e">
        <f t="shared" si="1"/>
        <v>#DIV/0!</v>
      </c>
      <c r="H7" s="8" t="s">
        <v>56</v>
      </c>
      <c r="I7" t="e">
        <f>#REF!</f>
        <v>#REF!</v>
      </c>
      <c r="J7">
        <v>165.1</v>
      </c>
    </row>
    <row r="8" spans="1:13" x14ac:dyDescent="0.3">
      <c r="A8" s="8"/>
      <c r="H8" s="9" t="s">
        <v>57</v>
      </c>
      <c r="I8" t="e">
        <f>SUM(I6:I7)</f>
        <v>#REF!</v>
      </c>
      <c r="J8">
        <f>SUM(J6:J7)</f>
        <v>382.9</v>
      </c>
    </row>
    <row r="9" spans="1:13" x14ac:dyDescent="0.3">
      <c r="A9" s="8" t="s">
        <v>6</v>
      </c>
      <c r="B9" s="2" t="e">
        <f>#REF!</f>
        <v>#REF!</v>
      </c>
      <c r="C9">
        <v>51476.9</v>
      </c>
      <c r="D9">
        <f>5263386907/10^6</f>
        <v>5263.3869070000001</v>
      </c>
      <c r="H9" s="9" t="s">
        <v>58</v>
      </c>
      <c r="I9" s="1" t="e">
        <f>#REF!</f>
        <v>#REF!</v>
      </c>
      <c r="J9">
        <v>32399.4</v>
      </c>
      <c r="K9">
        <f>(7286416406/10^6)-(1099349464/10^6)</f>
        <v>6187.0669420000004</v>
      </c>
    </row>
    <row r="10" spans="1:13" x14ac:dyDescent="0.3">
      <c r="A10" s="8"/>
      <c r="H10" s="8" t="s">
        <v>134</v>
      </c>
      <c r="I10" s="1" t="e">
        <f>#REF!</f>
        <v>#REF!</v>
      </c>
      <c r="J10">
        <v>21044.7</v>
      </c>
      <c r="K10">
        <f>3033435232/10^6</f>
        <v>3033.4352319999998</v>
      </c>
    </row>
    <row r="11" spans="1:13" x14ac:dyDescent="0.3">
      <c r="A11" s="9" t="s">
        <v>141</v>
      </c>
      <c r="B11" s="2" t="e">
        <f>#REF!</f>
        <v>#REF!</v>
      </c>
      <c r="C11" s="2">
        <f>C5-C9</f>
        <v>6624</v>
      </c>
      <c r="D11" s="2">
        <f>D5-D9</f>
        <v>173.37539300000026</v>
      </c>
      <c r="H11" s="8" t="s">
        <v>135</v>
      </c>
      <c r="I11" s="1" t="e">
        <f>#REF!</f>
        <v>#REF!</v>
      </c>
      <c r="J11">
        <v>28970.1</v>
      </c>
      <c r="K11">
        <f>4252981174/10^6</f>
        <v>4252.9811739999996</v>
      </c>
    </row>
    <row r="12" spans="1:13" x14ac:dyDescent="0.3">
      <c r="A12" s="9" t="s">
        <v>142</v>
      </c>
      <c r="B12" s="2" t="e">
        <f>#REF!</f>
        <v>#REF!</v>
      </c>
      <c r="C12">
        <v>3095.5</v>
      </c>
      <c r="D12" s="2">
        <f>1012519457/10^6</f>
        <v>1012.519457</v>
      </c>
      <c r="H12" s="8" t="s">
        <v>154</v>
      </c>
      <c r="I12" s="1" t="e">
        <f>#REF!</f>
        <v>#REF!</v>
      </c>
      <c r="J12">
        <v>8833.6</v>
      </c>
      <c r="K12">
        <f>1022696874/10^6</f>
        <v>1022.696874</v>
      </c>
    </row>
    <row r="13" spans="1:13" x14ac:dyDescent="0.3">
      <c r="A13" s="9" t="s">
        <v>129</v>
      </c>
      <c r="B13" s="13" t="e">
        <f>((B11/B12)^(1/3)-1)</f>
        <v>#REF!</v>
      </c>
      <c r="C13" s="13">
        <f t="shared" ref="C13:F13" si="2">((C11/C12)^(1/3)-1)</f>
        <v>0.28863474968882974</v>
      </c>
      <c r="D13" s="13">
        <f t="shared" si="2"/>
        <v>-0.4446995479832514</v>
      </c>
      <c r="E13" s="13" t="e">
        <f t="shared" si="2"/>
        <v>#DIV/0!</v>
      </c>
      <c r="F13" s="13" t="e">
        <f t="shared" si="2"/>
        <v>#DIV/0!</v>
      </c>
      <c r="H13" s="8" t="s">
        <v>155</v>
      </c>
    </row>
    <row r="14" spans="1:13" x14ac:dyDescent="0.3">
      <c r="A14" s="8"/>
      <c r="H14" s="8" t="s">
        <v>156</v>
      </c>
      <c r="I14" s="1" t="e">
        <f>#REF!</f>
        <v>#REF!</v>
      </c>
      <c r="J14">
        <v>7318.6</v>
      </c>
      <c r="K14">
        <f>961576534/10^6</f>
        <v>961.57653400000004</v>
      </c>
    </row>
    <row r="15" spans="1:13" x14ac:dyDescent="0.3">
      <c r="A15" s="8" t="s">
        <v>143</v>
      </c>
      <c r="B15" s="2" t="e">
        <f>#REF!</f>
        <v>#REF!</v>
      </c>
      <c r="C15">
        <v>1072.2</v>
      </c>
      <c r="D15">
        <f>163499020/10^6</f>
        <v>163.49902</v>
      </c>
      <c r="H15" s="8" t="s">
        <v>157</v>
      </c>
    </row>
    <row r="16" spans="1:13" x14ac:dyDescent="0.3">
      <c r="A16" s="8" t="s">
        <v>144</v>
      </c>
      <c r="B16" s="2" t="e">
        <f>#REF!</f>
        <v>#REF!</v>
      </c>
      <c r="C16">
        <v>172.3</v>
      </c>
      <c r="D16">
        <f>14683746/10^6</f>
        <v>14.683745999999999</v>
      </c>
      <c r="H16" s="8" t="s">
        <v>136</v>
      </c>
      <c r="I16" s="1" t="e">
        <f>SUM(#REF!)</f>
        <v>#REF!</v>
      </c>
      <c r="J16">
        <v>1688.9</v>
      </c>
      <c r="K16">
        <f>+(231535599+26760959)/10^6</f>
        <v>258.296558</v>
      </c>
    </row>
    <row r="17" spans="1:13" x14ac:dyDescent="0.3">
      <c r="A17" s="8"/>
      <c r="H17" s="8" t="s">
        <v>137</v>
      </c>
      <c r="I17" s="1" t="e">
        <f>#REF!</f>
        <v>#REF!</v>
      </c>
      <c r="J17">
        <v>17754.599999999999</v>
      </c>
      <c r="K17">
        <f>1099349464/10^6</f>
        <v>1099.3494639999999</v>
      </c>
    </row>
    <row r="18" spans="1:13" x14ac:dyDescent="0.3">
      <c r="A18" s="8" t="s">
        <v>145</v>
      </c>
      <c r="B18" s="2" t="e">
        <f>#REF!</f>
        <v>#REF!</v>
      </c>
      <c r="C18">
        <v>634.20000000000005</v>
      </c>
      <c r="D18">
        <f>108587522/10^6</f>
        <v>108.58752200000001</v>
      </c>
      <c r="H18" s="8" t="s">
        <v>158</v>
      </c>
      <c r="I18" s="1" t="e">
        <f>#REF!</f>
        <v>#REF!</v>
      </c>
      <c r="J18">
        <f>802.5+12126.7</f>
        <v>12929.2</v>
      </c>
      <c r="K18">
        <f>+(102240330+475471708)/10^6</f>
        <v>577.71203800000001</v>
      </c>
    </row>
    <row r="19" spans="1:13" x14ac:dyDescent="0.3">
      <c r="A19" s="8" t="s">
        <v>146</v>
      </c>
      <c r="B19" s="2" t="e">
        <f>#REF!</f>
        <v>#REF!</v>
      </c>
      <c r="C19">
        <v>322.10000000000002</v>
      </c>
      <c r="D19">
        <f>16934950/10^6</f>
        <v>16.934950000000001</v>
      </c>
      <c r="H19" s="8" t="s">
        <v>159</v>
      </c>
    </row>
    <row r="20" spans="1:13" ht="15" thickBot="1" x14ac:dyDescent="0.35">
      <c r="A20" s="8"/>
      <c r="H20" s="12" t="s">
        <v>138</v>
      </c>
      <c r="I20" s="1" t="e">
        <f>I11-I17</f>
        <v>#REF!</v>
      </c>
      <c r="J20" s="1">
        <f t="shared" ref="J20:M20" si="3">J11-J17</f>
        <v>11215.5</v>
      </c>
      <c r="K20" s="1">
        <f t="shared" si="3"/>
        <v>3153.6317099999997</v>
      </c>
      <c r="L20" s="1">
        <f t="shared" si="3"/>
        <v>0</v>
      </c>
      <c r="M20" s="1">
        <f t="shared" si="3"/>
        <v>0</v>
      </c>
    </row>
    <row r="21" spans="1:13" x14ac:dyDescent="0.3">
      <c r="A21" s="8" t="s">
        <v>147</v>
      </c>
      <c r="B21" s="2" t="e">
        <f>#REF!</f>
        <v>#REF!</v>
      </c>
      <c r="C21">
        <v>6252.5</v>
      </c>
      <c r="D21">
        <f>231033695/10^6</f>
        <v>231.03369499999999</v>
      </c>
    </row>
    <row r="22" spans="1:13" x14ac:dyDescent="0.3">
      <c r="A22" s="8" t="s">
        <v>148</v>
      </c>
      <c r="B22" s="2" t="e">
        <f>#REF!</f>
        <v>#REF!</v>
      </c>
      <c r="C22">
        <v>2487.1</v>
      </c>
      <c r="D22">
        <f>1158838826/10^6</f>
        <v>1158.8388259999999</v>
      </c>
    </row>
    <row r="23" spans="1:13" x14ac:dyDescent="0.3">
      <c r="A23" s="8"/>
    </row>
    <row r="24" spans="1:13" x14ac:dyDescent="0.3">
      <c r="A24" s="8" t="s">
        <v>149</v>
      </c>
      <c r="B24" s="2" t="e">
        <f>#REF!</f>
        <v>#REF!</v>
      </c>
      <c r="C24">
        <v>4717.2</v>
      </c>
      <c r="D24">
        <f>180059052/10^6</f>
        <v>180.05905200000001</v>
      </c>
    </row>
    <row r="25" spans="1:13" x14ac:dyDescent="0.3">
      <c r="A25" s="8" t="s">
        <v>150</v>
      </c>
      <c r="B25" s="2" t="e">
        <f>#REF!</f>
        <v>#REF!</v>
      </c>
      <c r="C25">
        <v>1307.5</v>
      </c>
      <c r="D25">
        <f>827079760/10^6</f>
        <v>827.07975999999996</v>
      </c>
    </row>
    <row r="26" spans="1:13" ht="15" thickBot="1" x14ac:dyDescent="0.35">
      <c r="A26" s="9" t="s">
        <v>129</v>
      </c>
      <c r="B26" s="14" t="e">
        <f>(B24/B25)^(1/3)-1</f>
        <v>#REF!</v>
      </c>
      <c r="C26" s="14">
        <f>(C24/C25)^(1/3)-1</f>
        <v>0.53372512029609975</v>
      </c>
      <c r="D26" s="14">
        <f>(D24/D25)^(1/3)-1</f>
        <v>-0.39842581862614057</v>
      </c>
    </row>
    <row r="27" spans="1:13" x14ac:dyDescent="0.3">
      <c r="A27" s="8"/>
      <c r="H27" s="11" t="s">
        <v>59</v>
      </c>
      <c r="I27" t="s">
        <v>126</v>
      </c>
      <c r="J27" t="s">
        <v>127</v>
      </c>
      <c r="K27" t="s">
        <v>130</v>
      </c>
      <c r="L27" t="s">
        <v>128</v>
      </c>
      <c r="M27" t="s">
        <v>131</v>
      </c>
    </row>
    <row r="28" spans="1:13" ht="15" thickBot="1" x14ac:dyDescent="0.35">
      <c r="A28" s="10" t="s">
        <v>151</v>
      </c>
      <c r="B28" s="1" t="e">
        <f>#REF!</f>
        <v>#REF!</v>
      </c>
      <c r="C28">
        <v>55.04</v>
      </c>
      <c r="D28">
        <v>20.83</v>
      </c>
      <c r="H28" s="8" t="s">
        <v>90</v>
      </c>
    </row>
    <row r="29" spans="1:13" x14ac:dyDescent="0.3">
      <c r="H29" s="8" t="s">
        <v>91</v>
      </c>
    </row>
    <row r="30" spans="1:13" x14ac:dyDescent="0.3">
      <c r="H30" s="8" t="s">
        <v>92</v>
      </c>
    </row>
    <row r="31" spans="1:13" x14ac:dyDescent="0.3">
      <c r="H31" s="8" t="s">
        <v>93</v>
      </c>
    </row>
    <row r="32" spans="1:13" x14ac:dyDescent="0.3">
      <c r="H32" s="8" t="s">
        <v>94</v>
      </c>
    </row>
    <row r="33" spans="8:8" x14ac:dyDescent="0.3">
      <c r="H33" s="8" t="s">
        <v>61</v>
      </c>
    </row>
    <row r="34" spans="8:8" x14ac:dyDescent="0.3">
      <c r="H34" s="8" t="s">
        <v>62</v>
      </c>
    </row>
    <row r="35" spans="8:8" x14ac:dyDescent="0.3">
      <c r="H35" s="8" t="s">
        <v>63</v>
      </c>
    </row>
    <row r="36" spans="8:8" x14ac:dyDescent="0.3">
      <c r="H36" s="8" t="s">
        <v>65</v>
      </c>
    </row>
    <row r="37" spans="8:8" x14ac:dyDescent="0.3">
      <c r="H37" s="8" t="s">
        <v>66</v>
      </c>
    </row>
    <row r="38" spans="8:8" x14ac:dyDescent="0.3">
      <c r="H38" s="8" t="s">
        <v>67</v>
      </c>
    </row>
    <row r="39" spans="8:8" x14ac:dyDescent="0.3">
      <c r="H39" s="8" t="s">
        <v>68</v>
      </c>
    </row>
    <row r="40" spans="8:8" x14ac:dyDescent="0.3">
      <c r="H40" s="8" t="s">
        <v>69</v>
      </c>
    </row>
    <row r="41" spans="8:8" x14ac:dyDescent="0.3">
      <c r="H41" s="8" t="s">
        <v>139</v>
      </c>
    </row>
    <row r="42" spans="8:8" x14ac:dyDescent="0.3">
      <c r="H42" s="8" t="s">
        <v>70</v>
      </c>
    </row>
    <row r="43" spans="8:8" x14ac:dyDescent="0.3">
      <c r="H43" s="8" t="s">
        <v>71</v>
      </c>
    </row>
    <row r="44" spans="8:8" x14ac:dyDescent="0.3">
      <c r="H44" s="8" t="s">
        <v>140</v>
      </c>
    </row>
    <row r="45" spans="8:8" x14ac:dyDescent="0.3">
      <c r="H45" s="8" t="s">
        <v>72</v>
      </c>
    </row>
    <row r="46" spans="8:8" x14ac:dyDescent="0.3">
      <c r="H46" s="8" t="s">
        <v>73</v>
      </c>
    </row>
    <row r="47" spans="8:8" x14ac:dyDescent="0.3">
      <c r="H47" s="8" t="s">
        <v>74</v>
      </c>
    </row>
    <row r="48" spans="8:8" x14ac:dyDescent="0.3">
      <c r="H48" s="8" t="s">
        <v>75</v>
      </c>
    </row>
    <row r="49" spans="8:8" x14ac:dyDescent="0.3">
      <c r="H49" s="8" t="s">
        <v>76</v>
      </c>
    </row>
    <row r="50" spans="8:8" x14ac:dyDescent="0.3">
      <c r="H50" s="8" t="s">
        <v>77</v>
      </c>
    </row>
    <row r="51" spans="8:8" x14ac:dyDescent="0.3">
      <c r="H51" s="8" t="s">
        <v>78</v>
      </c>
    </row>
    <row r="52" spans="8:8" ht="15" thickBot="1" x14ac:dyDescent="0.35">
      <c r="H52" s="10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52"/>
  <sheetViews>
    <sheetView topLeftCell="A22" workbookViewId="0">
      <selection activeCell="B30" sqref="B30"/>
    </sheetView>
  </sheetViews>
  <sheetFormatPr defaultColWidth="8.6640625" defaultRowHeight="14.4" x14ac:dyDescent="0.3"/>
  <cols>
    <col min="1" max="1" width="34.6640625" bestFit="1" customWidth="1"/>
    <col min="4" max="4" width="10.109375" bestFit="1" customWidth="1"/>
  </cols>
  <sheetData>
    <row r="2" spans="1:6" x14ac:dyDescent="0.3">
      <c r="B2" t="s">
        <v>126</v>
      </c>
      <c r="C2" t="s">
        <v>127</v>
      </c>
      <c r="D2" t="s">
        <v>130</v>
      </c>
      <c r="E2" t="s">
        <v>128</v>
      </c>
      <c r="F2" t="s">
        <v>131</v>
      </c>
    </row>
    <row r="3" spans="1:6" x14ac:dyDescent="0.3">
      <c r="A3" s="144" t="s">
        <v>97</v>
      </c>
    </row>
    <row r="4" spans="1:6" x14ac:dyDescent="0.3">
      <c r="A4" s="145"/>
    </row>
    <row r="5" spans="1:6" x14ac:dyDescent="0.3">
      <c r="A5" s="3" t="s">
        <v>98</v>
      </c>
    </row>
    <row r="6" spans="1:6" x14ac:dyDescent="0.3">
      <c r="A6" s="3" t="s">
        <v>0</v>
      </c>
    </row>
    <row r="7" spans="1:6" x14ac:dyDescent="0.3">
      <c r="A7" s="4" t="s">
        <v>99</v>
      </c>
    </row>
    <row r="8" spans="1:6" x14ac:dyDescent="0.3">
      <c r="A8" s="4" t="s">
        <v>100</v>
      </c>
    </row>
    <row r="9" spans="1:6" x14ac:dyDescent="0.3">
      <c r="A9" s="3" t="s">
        <v>9</v>
      </c>
    </row>
    <row r="10" spans="1:6" x14ac:dyDescent="0.3">
      <c r="A10" s="4" t="s">
        <v>100</v>
      </c>
    </row>
    <row r="11" spans="1:6" x14ac:dyDescent="0.3">
      <c r="A11" s="3" t="s">
        <v>101</v>
      </c>
    </row>
    <row r="12" spans="1:6" x14ac:dyDescent="0.3">
      <c r="A12" s="3" t="s">
        <v>15</v>
      </c>
    </row>
    <row r="13" spans="1:6" x14ac:dyDescent="0.3">
      <c r="A13" s="4" t="s">
        <v>100</v>
      </c>
    </row>
    <row r="14" spans="1:6" x14ac:dyDescent="0.3">
      <c r="A14" s="3" t="s">
        <v>102</v>
      </c>
    </row>
    <row r="15" spans="1:6" x14ac:dyDescent="0.3">
      <c r="A15" s="4" t="s">
        <v>19</v>
      </c>
    </row>
    <row r="16" spans="1:6" x14ac:dyDescent="0.3">
      <c r="A16" s="4"/>
    </row>
    <row r="17" spans="1:1" x14ac:dyDescent="0.3">
      <c r="A17" s="4"/>
    </row>
    <row r="18" spans="1:1" x14ac:dyDescent="0.3">
      <c r="A18" s="3" t="s">
        <v>103</v>
      </c>
    </row>
    <row r="19" spans="1:1" x14ac:dyDescent="0.3">
      <c r="A19" s="3" t="s">
        <v>104</v>
      </c>
    </row>
    <row r="20" spans="1:1" x14ac:dyDescent="0.3">
      <c r="A20" s="3" t="s">
        <v>92</v>
      </c>
    </row>
    <row r="21" spans="1:1" x14ac:dyDescent="0.3">
      <c r="A21" s="5" t="s">
        <v>105</v>
      </c>
    </row>
    <row r="22" spans="1:1" x14ac:dyDescent="0.3">
      <c r="A22" s="5" t="s">
        <v>106</v>
      </c>
    </row>
    <row r="23" spans="1:1" x14ac:dyDescent="0.3">
      <c r="A23" s="4"/>
    </row>
    <row r="24" spans="1:1" x14ac:dyDescent="0.3">
      <c r="A24" s="3" t="s">
        <v>79</v>
      </c>
    </row>
    <row r="25" spans="1:1" x14ac:dyDescent="0.3">
      <c r="A25" s="4" t="s">
        <v>107</v>
      </c>
    </row>
    <row r="26" spans="1:1" x14ac:dyDescent="0.3">
      <c r="A26" s="4" t="s">
        <v>89</v>
      </c>
    </row>
    <row r="27" spans="1:1" x14ac:dyDescent="0.3">
      <c r="A27" s="6"/>
    </row>
    <row r="28" spans="1:1" x14ac:dyDescent="0.3">
      <c r="A28" s="6" t="s">
        <v>90</v>
      </c>
    </row>
    <row r="29" spans="1:1" x14ac:dyDescent="0.3">
      <c r="A29" s="3" t="s">
        <v>91</v>
      </c>
    </row>
    <row r="30" spans="1:1" x14ac:dyDescent="0.3">
      <c r="A30" s="3" t="s">
        <v>108</v>
      </c>
    </row>
    <row r="31" spans="1:1" x14ac:dyDescent="0.3">
      <c r="A31" s="4"/>
    </row>
    <row r="32" spans="1:1" x14ac:dyDescent="0.3">
      <c r="A32" s="4" t="s">
        <v>109</v>
      </c>
    </row>
    <row r="33" spans="1:1" x14ac:dyDescent="0.3">
      <c r="A33" s="4" t="s">
        <v>72</v>
      </c>
    </row>
    <row r="34" spans="1:1" x14ac:dyDescent="0.3">
      <c r="A34" s="4" t="s">
        <v>110</v>
      </c>
    </row>
    <row r="35" spans="1:1" x14ac:dyDescent="0.3">
      <c r="A35" s="4" t="s">
        <v>111</v>
      </c>
    </row>
    <row r="36" spans="1:1" x14ac:dyDescent="0.3">
      <c r="A36" s="4"/>
    </row>
    <row r="37" spans="1:1" x14ac:dyDescent="0.3">
      <c r="A37" s="3" t="s">
        <v>112</v>
      </c>
    </row>
    <row r="38" spans="1:1" x14ac:dyDescent="0.3">
      <c r="A38" s="3" t="s">
        <v>113</v>
      </c>
    </row>
    <row r="39" spans="1:1" x14ac:dyDescent="0.3">
      <c r="A39" s="4" t="s">
        <v>114</v>
      </c>
    </row>
    <row r="40" spans="1:1" x14ac:dyDescent="0.3">
      <c r="A40" s="4" t="s">
        <v>115</v>
      </c>
    </row>
    <row r="41" spans="1:1" x14ac:dyDescent="0.3">
      <c r="A41" s="4" t="s">
        <v>116</v>
      </c>
    </row>
    <row r="42" spans="1:1" x14ac:dyDescent="0.3">
      <c r="A42" s="4" t="s">
        <v>117</v>
      </c>
    </row>
    <row r="43" spans="1:1" x14ac:dyDescent="0.3">
      <c r="A43" s="4" t="s">
        <v>118</v>
      </c>
    </row>
    <row r="44" spans="1:1" x14ac:dyDescent="0.3">
      <c r="A44" s="4" t="s">
        <v>119</v>
      </c>
    </row>
    <row r="45" spans="1:1" x14ac:dyDescent="0.3">
      <c r="A45" s="4" t="s">
        <v>75</v>
      </c>
    </row>
    <row r="46" spans="1:1" x14ac:dyDescent="0.3">
      <c r="A46" s="4" t="s">
        <v>120</v>
      </c>
    </row>
    <row r="47" spans="1:1" x14ac:dyDescent="0.3">
      <c r="A47" s="4" t="s">
        <v>121</v>
      </c>
    </row>
    <row r="48" spans="1:1" x14ac:dyDescent="0.3">
      <c r="A48" s="4" t="s">
        <v>77</v>
      </c>
    </row>
    <row r="49" spans="1:1" x14ac:dyDescent="0.3">
      <c r="A49" s="4" t="s">
        <v>122</v>
      </c>
    </row>
    <row r="50" spans="1:1" x14ac:dyDescent="0.3">
      <c r="A50" s="4" t="s">
        <v>123</v>
      </c>
    </row>
    <row r="51" spans="1:1" x14ac:dyDescent="0.3">
      <c r="A51" s="4" t="s">
        <v>124</v>
      </c>
    </row>
    <row r="52" spans="1:1" x14ac:dyDescent="0.3">
      <c r="A52" s="4" t="s">
        <v>125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Peer working</vt:lpstr>
      <vt:lpstr>Peers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2022-06-29T12:01:35Z</cp:lastPrinted>
  <dcterms:created xsi:type="dcterms:W3CDTF">2021-01-13T15:05:52Z</dcterms:created>
  <dcterms:modified xsi:type="dcterms:W3CDTF">2026-06-05T11:50:35Z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rtcut_file_id">
    <vt:lpwstr>d5383f31-683d-4972-8c57-721cface257e</vt:lpwstr>
  </property>
</Properties>
</file>