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A80E5C69-EBD9-4A60-872A-27E57AF50A61}" xr6:coauthVersionLast="47" xr6:coauthVersionMax="47" xr10:uidLastSave="{00000000-0000-0000-0000-000000000000}"/>
  <bookViews>
    <workbookView xWindow="-110" yWindow="-110" windowWidth="19420" windowHeight="10300" tabRatio="603" xr2:uid="{00000000-000D-0000-FFFF-FFFF00000000}"/>
  </bookViews>
  <sheets>
    <sheet name="Summary Sheet" sheetId="1" r:id="rId1"/>
    <sheet name="Highlights" sheetId="4" state="hidden" r:id="rId2"/>
    <sheet name="Peer working" sheetId="3" state="hidden" r:id="rId3"/>
    <sheet name="Peers" sheetId="2" state="hidden" r:id="rId4"/>
  </sheets>
  <definedNames>
    <definedName name="_xlnm.Print_Area" localSheetId="0">'Summary Sheet'!$A$1:$X$87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1" l="1"/>
  <c r="Z12" i="1"/>
  <c r="AA75" i="1"/>
  <c r="Z62" i="1"/>
  <c r="Z63" i="1" s="1"/>
  <c r="AA62" i="1"/>
  <c r="AA50" i="1"/>
  <c r="I57" i="1"/>
  <c r="H37" i="1"/>
  <c r="I20" i="1"/>
  <c r="I19" i="1"/>
  <c r="I18" i="1"/>
  <c r="AA35" i="1"/>
  <c r="AA34" i="1"/>
  <c r="AA29" i="1"/>
  <c r="AA20" i="1"/>
  <c r="AA7" i="1"/>
  <c r="I25" i="1"/>
  <c r="I7" i="1"/>
  <c r="I16" i="1" l="1"/>
  <c r="H26" i="1" l="1"/>
  <c r="G26" i="1"/>
  <c r="F26" i="1"/>
  <c r="E26" i="1"/>
  <c r="D26" i="1"/>
  <c r="C26" i="1"/>
  <c r="B26" i="1"/>
  <c r="H24" i="1"/>
  <c r="G24" i="1"/>
  <c r="F24" i="1"/>
  <c r="E24" i="1"/>
  <c r="D24" i="1"/>
  <c r="C24" i="1"/>
  <c r="B24" i="1"/>
  <c r="AA70" i="1" l="1"/>
  <c r="AA52" i="1"/>
  <c r="AA60" i="1"/>
  <c r="AA59" i="1"/>
  <c r="AA57" i="1"/>
  <c r="AA56" i="1"/>
  <c r="AA55" i="1"/>
  <c r="AA54" i="1"/>
  <c r="AA41" i="1"/>
  <c r="AA48" i="1"/>
  <c r="AA47" i="1"/>
  <c r="AA46" i="1"/>
  <c r="AA45" i="1"/>
  <c r="AA43" i="1"/>
  <c r="AA40" i="1"/>
  <c r="AA39" i="1"/>
  <c r="AA33" i="1"/>
  <c r="AA32" i="1"/>
  <c r="AA28" i="1"/>
  <c r="AA21" i="1"/>
  <c r="AA19" i="1"/>
  <c r="I41" i="1"/>
  <c r="AA82" i="1" l="1"/>
  <c r="I50" i="1"/>
  <c r="I49" i="1"/>
  <c r="I48" i="1"/>
  <c r="I42" i="1"/>
  <c r="I32" i="1"/>
  <c r="I23" i="1"/>
  <c r="I22" i="1"/>
  <c r="I15" i="1"/>
  <c r="I14" i="1"/>
  <c r="I13" i="1"/>
  <c r="I12" i="1"/>
  <c r="AA83" i="1" s="1"/>
  <c r="I70" i="1"/>
  <c r="I6" i="1"/>
  <c r="AA80" i="1"/>
  <c r="AA81" i="1" l="1"/>
  <c r="AA84" i="1" s="1"/>
  <c r="AA36" i="1"/>
  <c r="AA91" i="1" s="1"/>
  <c r="AA22" i="1"/>
  <c r="AA8" i="1"/>
  <c r="AA90" i="1" l="1"/>
  <c r="AA63" i="1"/>
  <c r="AA13" i="1"/>
  <c r="AA65" i="1"/>
  <c r="AA64" i="1"/>
  <c r="I51" i="1"/>
  <c r="AA14" i="1" l="1"/>
  <c r="AA89" i="1"/>
  <c r="AA93" i="1" s="1"/>
  <c r="I28" i="1"/>
  <c r="I77" i="1" l="1"/>
  <c r="I64" i="1" l="1"/>
  <c r="AA79" i="1" l="1"/>
  <c r="AA73" i="1"/>
  <c r="AA78" i="1"/>
  <c r="I73" i="1"/>
  <c r="I61" i="1"/>
  <c r="I62" i="1" s="1"/>
  <c r="I65" i="1" s="1"/>
  <c r="I60" i="1"/>
  <c r="I56" i="1"/>
  <c r="I58" i="1" s="1"/>
  <c r="AA71" i="1" l="1"/>
  <c r="AA74" i="1" s="1"/>
  <c r="I17" i="1"/>
  <c r="I11" i="1" s="1"/>
  <c r="I8" i="1" l="1"/>
  <c r="I26" i="1" l="1"/>
  <c r="I34" i="1" s="1"/>
  <c r="AA94" i="1" s="1"/>
  <c r="I24" i="1"/>
  <c r="AA97" i="1"/>
  <c r="I21" i="1"/>
  <c r="AA96" i="1" l="1"/>
  <c r="AA95" i="1"/>
  <c r="AA77" i="1" s="1"/>
  <c r="I37" i="1"/>
  <c r="I33" i="1"/>
  <c r="I35" i="1"/>
  <c r="AA76" i="1"/>
  <c r="H77" i="1"/>
  <c r="H16" i="1"/>
  <c r="Z83" i="1" l="1"/>
  <c r="Z81" i="1"/>
  <c r="Z92" i="1"/>
  <c r="H71" i="1" l="1"/>
  <c r="H73" i="1" s="1"/>
  <c r="H7" i="1" s="1"/>
  <c r="H64" i="1"/>
  <c r="H62" i="1"/>
  <c r="Z70" i="1"/>
  <c r="Z73" i="1" s="1"/>
  <c r="H56" i="1"/>
  <c r="H58" i="1" s="1"/>
  <c r="H51" i="1"/>
  <c r="H42" i="1"/>
  <c r="H41" i="1"/>
  <c r="H28" i="1"/>
  <c r="Z80" i="1"/>
  <c r="H8" i="1" l="1"/>
  <c r="H17" i="1"/>
  <c r="H11" i="1" s="1"/>
  <c r="H18" i="1" s="1"/>
  <c r="H65" i="1"/>
  <c r="I9" i="1" l="1"/>
  <c r="H34" i="1"/>
  <c r="Z76" i="1" s="1"/>
  <c r="Z75" i="1"/>
  <c r="H21" i="1"/>
  <c r="Z90" i="1"/>
  <c r="Z50" i="1"/>
  <c r="Z89" i="1" s="1"/>
  <c r="Z36" i="1"/>
  <c r="Z91" i="1" s="1"/>
  <c r="Z22" i="1"/>
  <c r="Z8" i="1"/>
  <c r="Z71" i="1" s="1"/>
  <c r="H33" i="1" l="1"/>
  <c r="Z93" i="1"/>
  <c r="Z96" i="1"/>
  <c r="Z94" i="1"/>
  <c r="Z64" i="1"/>
  <c r="Z14" i="1" s="1"/>
  <c r="Z13" i="1"/>
  <c r="Z79" i="1"/>
  <c r="Z74" i="1"/>
  <c r="Z78" i="1"/>
  <c r="I38" i="1"/>
  <c r="H35" i="1"/>
  <c r="AA85" i="1"/>
  <c r="Z65" i="1"/>
  <c r="Z95" i="1" l="1"/>
  <c r="Z77" i="1" s="1"/>
  <c r="G77" i="1"/>
  <c r="Y70" i="1" l="1"/>
  <c r="G64" i="1" l="1"/>
  <c r="G62" i="1"/>
  <c r="X28" i="1"/>
  <c r="G42" i="1"/>
  <c r="Y80" i="1"/>
  <c r="Y81" i="1"/>
  <c r="Y83" i="1"/>
  <c r="G51" i="1"/>
  <c r="G52" i="1" s="1"/>
  <c r="H47" i="1" s="1"/>
  <c r="H52" i="1" s="1"/>
  <c r="I47" i="1" s="1"/>
  <c r="I52" i="1" s="1"/>
  <c r="Y28" i="1"/>
  <c r="X22" i="1"/>
  <c r="Y62" i="1"/>
  <c r="Y90" i="1" s="1"/>
  <c r="Y43" i="1"/>
  <c r="F36" i="1"/>
  <c r="F11" i="1"/>
  <c r="G41" i="1"/>
  <c r="G36" i="1"/>
  <c r="G28" i="1"/>
  <c r="G11" i="1"/>
  <c r="G18" i="1" s="1"/>
  <c r="H19" i="1" s="1"/>
  <c r="G56" i="1"/>
  <c r="G58" i="1" s="1"/>
  <c r="Z82" i="1" l="1"/>
  <c r="Z84" i="1" s="1"/>
  <c r="Y36" i="1"/>
  <c r="Y63" i="1" s="1"/>
  <c r="Z85" i="1" s="1"/>
  <c r="Y82" i="1"/>
  <c r="Y84" i="1" s="1"/>
  <c r="G65" i="1"/>
  <c r="Y75" i="1" s="1"/>
  <c r="G21" i="1"/>
  <c r="X62" i="1"/>
  <c r="W62" i="1"/>
  <c r="V62" i="1"/>
  <c r="U62" i="1"/>
  <c r="AO69" i="1"/>
  <c r="T62" i="1"/>
  <c r="Y92" i="1"/>
  <c r="X92" i="1"/>
  <c r="AM92" i="1" s="1"/>
  <c r="W92" i="1"/>
  <c r="AL92" i="1" s="1"/>
  <c r="V92" i="1"/>
  <c r="AK92" i="1" s="1"/>
  <c r="U92" i="1"/>
  <c r="AJ92" i="1" s="1"/>
  <c r="T92" i="1"/>
  <c r="AI92" i="1" s="1"/>
  <c r="V90" i="1" l="1"/>
  <c r="AK90" i="1" s="1"/>
  <c r="T90" i="1"/>
  <c r="AI90" i="1" s="1"/>
  <c r="X90" i="1"/>
  <c r="AM90" i="1" s="1"/>
  <c r="W90" i="1"/>
  <c r="AL90" i="1" s="1"/>
  <c r="U90" i="1"/>
  <c r="AJ90" i="1" s="1"/>
  <c r="X81" i="1"/>
  <c r="Y73" i="1"/>
  <c r="G8" i="1"/>
  <c r="H9" i="1" s="1"/>
  <c r="Y50" i="1"/>
  <c r="Y22" i="1"/>
  <c r="Y91" i="1"/>
  <c r="X80" i="1"/>
  <c r="S70" i="1"/>
  <c r="Y8" i="1"/>
  <c r="Y71" i="1" s="1"/>
  <c r="Y89" i="1" l="1"/>
  <c r="Y93" i="1" s="1"/>
  <c r="Y64" i="1"/>
  <c r="Y14" i="1" s="1"/>
  <c r="Y78" i="1"/>
  <c r="Y79" i="1"/>
  <c r="Y65" i="1"/>
  <c r="Y13" i="1"/>
  <c r="F76" i="1"/>
  <c r="Y74" i="1" l="1"/>
  <c r="G73" i="1"/>
  <c r="F73" i="1"/>
  <c r="E73" i="1"/>
  <c r="D73" i="1"/>
  <c r="C73" i="1"/>
  <c r="B73" i="1"/>
  <c r="F77" i="1"/>
  <c r="E77" i="1"/>
  <c r="D77" i="1"/>
  <c r="C77" i="1"/>
  <c r="B77" i="1"/>
  <c r="D7" i="1" l="1"/>
  <c r="E7" i="1"/>
  <c r="E8" i="1" s="1"/>
  <c r="H10" i="1" s="1"/>
  <c r="B7" i="1"/>
  <c r="B17" i="1"/>
  <c r="C17" i="1"/>
  <c r="C7" i="1"/>
  <c r="D17" i="1"/>
  <c r="E17" i="1"/>
  <c r="T81" i="1"/>
  <c r="U83" i="1"/>
  <c r="V83" i="1"/>
  <c r="W83" i="1"/>
  <c r="X83" i="1"/>
  <c r="T83" i="1"/>
  <c r="U22" i="1"/>
  <c r="T22" i="1"/>
  <c r="E57" i="1"/>
  <c r="W81" i="1"/>
  <c r="V81" i="1"/>
  <c r="U81" i="1"/>
  <c r="V80" i="1"/>
  <c r="W80" i="1"/>
  <c r="U80" i="1"/>
  <c r="T80" i="1"/>
  <c r="X70" i="1" l="1"/>
  <c r="W70" i="1"/>
  <c r="V70" i="1"/>
  <c r="U70" i="1"/>
  <c r="T70" i="1"/>
  <c r="X50" i="1"/>
  <c r="W50" i="1"/>
  <c r="W22" i="1"/>
  <c r="X8" i="1"/>
  <c r="X13" i="1" s="1"/>
  <c r="W8" i="1"/>
  <c r="F62" i="1"/>
  <c r="E62" i="1"/>
  <c r="F64" i="1"/>
  <c r="E64" i="1"/>
  <c r="F56" i="1"/>
  <c r="F58" i="1" s="1"/>
  <c r="E56" i="1"/>
  <c r="E58" i="1" s="1"/>
  <c r="F51" i="1"/>
  <c r="E51" i="1"/>
  <c r="E42" i="1"/>
  <c r="F42" i="1"/>
  <c r="F41" i="1"/>
  <c r="E41" i="1"/>
  <c r="F28" i="1"/>
  <c r="E28" i="1"/>
  <c r="F18" i="1"/>
  <c r="E11" i="1"/>
  <c r="E18" i="1" s="1"/>
  <c r="H20" i="1" s="1"/>
  <c r="F8" i="1"/>
  <c r="I10" i="1" s="1"/>
  <c r="W89" i="1" l="1"/>
  <c r="W64" i="1"/>
  <c r="W13" i="1"/>
  <c r="X89" i="1"/>
  <c r="AM89" i="1" s="1"/>
  <c r="X64" i="1"/>
  <c r="F9" i="1"/>
  <c r="G9" i="1"/>
  <c r="G19" i="1"/>
  <c r="U73" i="1"/>
  <c r="V73" i="1"/>
  <c r="T73" i="1"/>
  <c r="E21" i="1"/>
  <c r="W73" i="1"/>
  <c r="X73" i="1"/>
  <c r="AL89" i="1"/>
  <c r="F21" i="1"/>
  <c r="E34" i="1"/>
  <c r="W94" i="1" s="1"/>
  <c r="X71" i="1"/>
  <c r="F19" i="1"/>
  <c r="F34" i="1"/>
  <c r="W71" i="1"/>
  <c r="U50" i="1"/>
  <c r="B64" i="1"/>
  <c r="C64" i="1"/>
  <c r="D64" i="1"/>
  <c r="B51" i="1"/>
  <c r="B52" i="1" s="1"/>
  <c r="D28" i="1"/>
  <c r="D8" i="1"/>
  <c r="V28" i="1"/>
  <c r="B11" i="1"/>
  <c r="B28" i="1"/>
  <c r="C36" i="1"/>
  <c r="AN44" i="1"/>
  <c r="C11" i="1"/>
  <c r="C18" i="1" s="1"/>
  <c r="T28" i="1"/>
  <c r="U28" i="1"/>
  <c r="W28" i="1"/>
  <c r="X36" i="1"/>
  <c r="B8" i="1"/>
  <c r="E10" i="1" s="1"/>
  <c r="B56" i="1"/>
  <c r="B62" i="1"/>
  <c r="B63" i="1"/>
  <c r="C57" i="1"/>
  <c r="D57" i="1"/>
  <c r="X96" i="1" l="1"/>
  <c r="AM96" i="1" s="1"/>
  <c r="X94" i="1"/>
  <c r="F20" i="1"/>
  <c r="U89" i="1"/>
  <c r="AJ89" i="1" s="1"/>
  <c r="U64" i="1"/>
  <c r="X63" i="1"/>
  <c r="X91" i="1"/>
  <c r="W74" i="1"/>
  <c r="C21" i="1"/>
  <c r="E35" i="1"/>
  <c r="W96" i="1"/>
  <c r="AL96" i="1" s="1"/>
  <c r="E9" i="1"/>
  <c r="G10" i="1"/>
  <c r="AL94" i="1"/>
  <c r="X74" i="1"/>
  <c r="AM94" i="1"/>
  <c r="E37" i="1"/>
  <c r="H39" i="1" s="1"/>
  <c r="E33" i="1"/>
  <c r="F35" i="1"/>
  <c r="F37" i="1"/>
  <c r="I39" i="1" s="1"/>
  <c r="X82" i="1"/>
  <c r="X84" i="1" s="1"/>
  <c r="W36" i="1"/>
  <c r="W91" i="1" s="1"/>
  <c r="F33" i="1"/>
  <c r="V36" i="1"/>
  <c r="V91" i="1" s="1"/>
  <c r="AK91" i="1" s="1"/>
  <c r="W82" i="1"/>
  <c r="U36" i="1"/>
  <c r="U91" i="1" s="1"/>
  <c r="AJ91" i="1" s="1"/>
  <c r="V82" i="1"/>
  <c r="T36" i="1"/>
  <c r="T91" i="1" s="1"/>
  <c r="AI91" i="1" s="1"/>
  <c r="U82" i="1"/>
  <c r="T82" i="1"/>
  <c r="B18" i="1"/>
  <c r="B65" i="1"/>
  <c r="D11" i="1"/>
  <c r="V22" i="1"/>
  <c r="Y85" i="1" l="1"/>
  <c r="V84" i="1"/>
  <c r="U84" i="1"/>
  <c r="W84" i="1"/>
  <c r="AM91" i="1"/>
  <c r="X93" i="1"/>
  <c r="T84" i="1"/>
  <c r="AL91" i="1"/>
  <c r="W93" i="1"/>
  <c r="U93" i="1"/>
  <c r="AJ93" i="1" s="1"/>
  <c r="E20" i="1"/>
  <c r="B21" i="1"/>
  <c r="T75" i="1"/>
  <c r="F38" i="1"/>
  <c r="W63" i="1"/>
  <c r="X85" i="1" s="1"/>
  <c r="C19" i="1"/>
  <c r="W14" i="1"/>
  <c r="D18" i="1"/>
  <c r="G20" i="1" l="1"/>
  <c r="AL93" i="1"/>
  <c r="W95" i="1"/>
  <c r="AM93" i="1"/>
  <c r="X95" i="1"/>
  <c r="D21" i="1"/>
  <c r="E19" i="1"/>
  <c r="B34" i="1"/>
  <c r="T94" i="1" s="1"/>
  <c r="AI94" i="1" s="1"/>
  <c r="X12" i="1"/>
  <c r="AM95" i="1" l="1"/>
  <c r="X77" i="1"/>
  <c r="AL95" i="1"/>
  <c r="W77" i="1"/>
  <c r="B37" i="1"/>
  <c r="E39" i="1" s="1"/>
  <c r="X78" i="1"/>
  <c r="X79" i="1"/>
  <c r="X65" i="1"/>
  <c r="D34" i="1"/>
  <c r="V94" i="1" s="1"/>
  <c r="AK94" i="1" s="1"/>
  <c r="B35" i="1"/>
  <c r="F63" i="1"/>
  <c r="F65" i="1" s="1"/>
  <c r="X75" i="1" s="1"/>
  <c r="D41" i="1"/>
  <c r="D35" i="1" l="1"/>
  <c r="X14" i="1"/>
  <c r="X76" i="1" l="1"/>
  <c r="W12" i="1" l="1"/>
  <c r="D62" i="1"/>
  <c r="C62" i="1"/>
  <c r="W79" i="1" l="1"/>
  <c r="W78" i="1"/>
  <c r="W65" i="1"/>
  <c r="E63" i="1"/>
  <c r="E65" i="1" s="1"/>
  <c r="W75" i="1" s="1"/>
  <c r="V50" i="1"/>
  <c r="V8" i="1"/>
  <c r="V96" i="1" s="1"/>
  <c r="AK96" i="1" s="1"/>
  <c r="V89" i="1" l="1"/>
  <c r="AK89" i="1" s="1"/>
  <c r="V64" i="1"/>
  <c r="V14" i="1" s="1"/>
  <c r="V78" i="1"/>
  <c r="V13" i="1"/>
  <c r="V79" i="1"/>
  <c r="V71" i="1"/>
  <c r="D63" i="1"/>
  <c r="V65" i="1"/>
  <c r="V63" i="1"/>
  <c r="W85" i="1" s="1"/>
  <c r="D56" i="1"/>
  <c r="D58" i="1" s="1"/>
  <c r="D51" i="1"/>
  <c r="V93" i="1" l="1"/>
  <c r="AK93" i="1" s="1"/>
  <c r="V74" i="1"/>
  <c r="C41" i="1"/>
  <c r="V95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Q81" i="1"/>
  <c r="I16" i="3"/>
  <c r="I14" i="3"/>
  <c r="I12" i="3"/>
  <c r="AK95" i="1" l="1"/>
  <c r="V77" i="1"/>
  <c r="K20" i="3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l="1"/>
  <c r="D26" i="3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P50" i="1"/>
  <c r="P62" i="1"/>
  <c r="P64" i="1" l="1"/>
  <c r="B7" i="3"/>
  <c r="P63" i="1" l="1"/>
  <c r="P22" i="1"/>
  <c r="P36" i="1"/>
  <c r="P12" i="1"/>
  <c r="P8" i="1"/>
  <c r="P13" i="1" s="1"/>
  <c r="P14" i="1" l="1"/>
  <c r="P65" i="1"/>
  <c r="S81" i="1" l="1"/>
  <c r="R81" i="1"/>
  <c r="C56" i="1"/>
  <c r="C58" i="1" s="1"/>
  <c r="C51" i="1" l="1"/>
  <c r="R70" i="1"/>
  <c r="Q70" i="1"/>
  <c r="S36" i="1"/>
  <c r="R36" i="1"/>
  <c r="Q36" i="1"/>
  <c r="S22" i="1"/>
  <c r="R22" i="1"/>
  <c r="Q22" i="1"/>
  <c r="C63" i="1"/>
  <c r="S12" i="1"/>
  <c r="R12" i="1"/>
  <c r="Q12" i="1"/>
  <c r="U8" i="1"/>
  <c r="T8" i="1"/>
  <c r="T96" i="1" s="1"/>
  <c r="AI96" i="1" s="1"/>
  <c r="S8" i="1"/>
  <c r="R8" i="1"/>
  <c r="Q8" i="1"/>
  <c r="U13" i="1" l="1"/>
  <c r="I9" i="3" s="1"/>
  <c r="U79" i="1"/>
  <c r="U71" i="1"/>
  <c r="U78" i="1"/>
  <c r="T13" i="1"/>
  <c r="T78" i="1"/>
  <c r="T71" i="1"/>
  <c r="T79" i="1"/>
  <c r="T76" i="1"/>
  <c r="Q86" i="1"/>
  <c r="R86" i="1"/>
  <c r="S86" i="1"/>
  <c r="I5" i="3"/>
  <c r="D65" i="1"/>
  <c r="V75" i="1" s="1"/>
  <c r="S13" i="1"/>
  <c r="S71" i="1"/>
  <c r="S74" i="1" s="1"/>
  <c r="Q78" i="1"/>
  <c r="Q79" i="1"/>
  <c r="C65" i="1"/>
  <c r="U75" i="1" s="1"/>
  <c r="Q73" i="1"/>
  <c r="Q80" i="1"/>
  <c r="R79" i="1"/>
  <c r="R78" i="1"/>
  <c r="R73" i="1"/>
  <c r="R80" i="1"/>
  <c r="R13" i="1"/>
  <c r="R71" i="1"/>
  <c r="R74" i="1" s="1"/>
  <c r="Q13" i="1"/>
  <c r="Q71" i="1"/>
  <c r="Q74" i="1" s="1"/>
  <c r="S79" i="1"/>
  <c r="S78" i="1"/>
  <c r="S73" i="1"/>
  <c r="S80" i="1"/>
  <c r="Q65" i="1"/>
  <c r="R65" i="1"/>
  <c r="S65" i="1"/>
  <c r="C52" i="1"/>
  <c r="S62" i="1"/>
  <c r="S63" i="1" s="1"/>
  <c r="R62" i="1"/>
  <c r="R63" i="1" s="1"/>
  <c r="R50" i="1"/>
  <c r="Q62" i="1"/>
  <c r="Q63" i="1" s="1"/>
  <c r="Q50" i="1"/>
  <c r="S50" i="1"/>
  <c r="I10" i="3"/>
  <c r="T50" i="1"/>
  <c r="T89" i="1" l="1"/>
  <c r="AI89" i="1" s="1"/>
  <c r="T64" i="1"/>
  <c r="T14" i="1" s="1"/>
  <c r="U74" i="1"/>
  <c r="T74" i="1"/>
  <c r="D47" i="1"/>
  <c r="D52" i="1" s="1"/>
  <c r="E47" i="1" s="1"/>
  <c r="E52" i="1" s="1"/>
  <c r="F52" i="1" s="1"/>
  <c r="I11" i="3"/>
  <c r="U63" i="1"/>
  <c r="V85" i="1" s="1"/>
  <c r="I18" i="3"/>
  <c r="T65" i="1"/>
  <c r="S64" i="1"/>
  <c r="Q64" i="1"/>
  <c r="R64" i="1"/>
  <c r="T93" i="1" l="1"/>
  <c r="T95" i="1" s="1"/>
  <c r="U65" i="1"/>
  <c r="I17" i="3"/>
  <c r="I20" i="3" s="1"/>
  <c r="T63" i="1"/>
  <c r="U14" i="1"/>
  <c r="Q14" i="1"/>
  <c r="R14" i="1"/>
  <c r="S14" i="1"/>
  <c r="AI93" i="1" l="1"/>
  <c r="AI95" i="1"/>
  <c r="T77" i="1"/>
  <c r="U85" i="1"/>
  <c r="T85" i="1"/>
  <c r="C28" i="1"/>
  <c r="C8" i="1"/>
  <c r="F10" i="1" s="1"/>
  <c r="C9" i="1" l="1"/>
  <c r="D9" i="1"/>
  <c r="B9" i="3"/>
  <c r="R85" i="1"/>
  <c r="S85" i="1"/>
  <c r="Q82" i="1"/>
  <c r="Q83" i="1"/>
  <c r="R82" i="1"/>
  <c r="R83" i="1"/>
  <c r="S83" i="1"/>
  <c r="S82" i="1"/>
  <c r="C34" i="1" l="1"/>
  <c r="U94" i="1" s="1"/>
  <c r="S77" i="1"/>
  <c r="R77" i="1"/>
  <c r="Q84" i="1"/>
  <c r="B11" i="3"/>
  <c r="B12" i="3"/>
  <c r="S84" i="1"/>
  <c r="R84" i="1"/>
  <c r="S76" i="1"/>
  <c r="S75" i="1"/>
  <c r="R75" i="1"/>
  <c r="W76" i="1"/>
  <c r="AJ94" i="1" l="1"/>
  <c r="U95" i="1"/>
  <c r="C35" i="1"/>
  <c r="U96" i="1"/>
  <c r="AJ96" i="1" s="1"/>
  <c r="B13" i="3"/>
  <c r="B22" i="3"/>
  <c r="C33" i="1"/>
  <c r="B21" i="3"/>
  <c r="U77" i="1" l="1"/>
  <c r="AJ95" i="1"/>
  <c r="U76" i="1"/>
  <c r="B24" i="3"/>
  <c r="R76" i="1"/>
  <c r="B25" i="3"/>
  <c r="Q85" i="1"/>
  <c r="C37" i="1"/>
  <c r="F39" i="1" s="1"/>
  <c r="Q76" i="1" l="1"/>
  <c r="Q77" i="1"/>
  <c r="Q75" i="1"/>
  <c r="C38" i="1"/>
  <c r="B26" i="3"/>
  <c r="D33" i="1" l="1"/>
  <c r="D37" i="1"/>
  <c r="D38" i="1" l="1"/>
  <c r="E38" i="1"/>
  <c r="V76" i="1"/>
  <c r="D19" i="1"/>
  <c r="G34" i="1" l="1"/>
  <c r="Y94" i="1" l="1"/>
  <c r="Y95" i="1" s="1"/>
  <c r="Y77" i="1" s="1"/>
  <c r="Y76" i="1"/>
  <c r="G37" i="1"/>
  <c r="H38" i="1" s="1"/>
  <c r="Y96" i="1"/>
  <c r="G33" i="1"/>
  <c r="G39" i="1" l="1"/>
  <c r="G38" i="1"/>
  <c r="G35" i="1"/>
</calcChain>
</file>

<file path=xl/sharedStrings.xml><?xml version="1.0" encoding="utf-8"?>
<sst xmlns="http://schemas.openxmlformats.org/spreadsheetml/2006/main" count="363" uniqueCount="242">
  <si>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</si>
  <si>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</si>
  <si>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</si>
  <si>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</si>
  <si>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</si>
  <si>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</si>
  <si>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</si>
  <si>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</si>
  <si>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</si>
  <si>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</si>
  <si>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</si>
  <si>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</si>
  <si>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</si>
  <si>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</si>
  <si>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</si>
  <si>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</si>
  <si>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</si>
  <si>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</si>
  <si>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</si>
  <si>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</si>
  <si>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</si>
  <si>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</si>
  <si>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</si>
  <si>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</si>
  <si>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</si>
  <si>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</si>
  <si>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</si>
  <si>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</si>
  <si>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</si>
  <si>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</si>
  <si>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</si>
  <si>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</si>
  <si>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</si>
  <si>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</si>
  <si>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</si>
  <si>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</si>
  <si>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</si>
  <si>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</si>
  <si>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</si>
  <si>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</si>
  <si>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</si>
  <si>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</si>
  <si>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</si>
  <si>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</si>
  <si>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</si>
  <si>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</si>
  <si>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</si>
  <si>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</si>
  <si>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</si>
  <si>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</si>
  <si>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</si>
  <si>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</si>
  <si>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</si>
  <si>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</si>
  <si>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</si>
  <si>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</si>
  <si>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</si>
  <si>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</si>
  <si>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</si>
  <si>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</si>
  <si>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</si>
  <si>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</si>
  <si>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</si>
  <si>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</si>
  <si>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</si>
  <si>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</si>
  <si>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</si>
  <si>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</si>
  <si>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</si>
  <si>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</si>
  <si>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</si>
  <si>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</si>
  <si>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</si>
  <si>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</si>
  <si>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</si>
  <si>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</si>
  <si>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</si>
  <si>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</si>
  <si>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</si>
  <si>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</si>
  <si>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</si>
  <si>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</si>
  <si>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</si>
  <si>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</si>
  <si>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</si>
  <si>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</si>
  <si>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</si>
  <si>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</si>
  <si>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</si>
  <si>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</si>
  <si>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</si>
  <si>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</si>
  <si>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</si>
  <si>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</si>
  <si>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</si>
  <si>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</si>
  <si>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</si>
  <si>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</si>
  <si>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</si>
  <si>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</si>
  <si>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</si>
  <si>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</si>
  <si>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</si>
  <si>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</si>
  <si>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</si>
  <si>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</si>
  <si>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</si>
  <si>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</si>
  <si>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</si>
  <si>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</si>
  <si>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</si>
  <si>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</si>
  <si>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</si>
  <si>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</si>
  <si>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</si>
  <si>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</si>
  <si>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</si>
  <si>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</si>
  <si>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</si>
  <si>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</si>
  <si>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</si>
  <si>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</si>
  <si>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</si>
  <si>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</si>
  <si>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</si>
  <si>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</si>
  <si>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</si>
  <si>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</si>
  <si>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</si>
  <si>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</si>
  <si>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</si>
  <si>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</si>
  <si>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</si>
  <si>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</si>
  <si>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</si>
  <si>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</si>
  <si>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</si>
  <si>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</si>
  <si>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</si>
  <si>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</si>
  <si>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</si>
  <si>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</si>
  <si>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</si>
  <si>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</si>
  <si>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</si>
  <si>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</si>
  <si>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</si>
  <si>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</si>
  <si>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</si>
  <si>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</si>
  <si>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</si>
  <si>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</si>
  <si>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</si>
  <si>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</si>
  <si>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</si>
  <si>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</si>
  <si>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</si>
  <si>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</si>
  <si>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</si>
  <si>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</si>
  <si>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</si>
  <si>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</si>
  <si>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</si>
  <si>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</si>
  <si>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</si>
  <si>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</si>
  <si>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</si>
  <si>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</si>
  <si>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</si>
  <si>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</si>
  <si>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</si>
  <si>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</si>
  <si>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</si>
  <si>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</si>
  <si>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</si>
  <si>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</si>
  <si>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</si>
  <si>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</si>
  <si>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</si>
  <si>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</si>
  <si>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</si>
  <si>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</si>
  <si>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</si>
  <si>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</si>
  <si>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</si>
  <si>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</si>
  <si>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</si>
  <si>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</si>
  <si>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</si>
  <si>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</si>
  <si>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</si>
  <si>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</si>
  <si>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</si>
  <si>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</si>
  <si>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</si>
  <si>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</si>
  <si>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</si>
  <si>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</si>
  <si>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</si>
  <si>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</si>
  <si>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</si>
  <si>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</si>
  <si>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</si>
  <si>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</si>
  <si>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</si>
  <si>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</si>
  <si>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</si>
  <si>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</si>
  <si>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</si>
  <si>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</si>
  <si>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EBITDA (operations)</t>
  </si>
  <si>
    <t>Financial highlights</t>
  </si>
  <si>
    <t>Operational Highlights</t>
  </si>
  <si>
    <t>FY25</t>
  </si>
  <si>
    <t>FY 25</t>
  </si>
  <si>
    <t>Better workiing capital management</t>
  </si>
  <si>
    <t>Sales growth due to increase in urban demand for festivals and healthy monsoon precipitation. However, delayed harvest payment dampens rural demand</t>
  </si>
  <si>
    <t>Apache ECU mass production started</t>
  </si>
  <si>
    <t>Pilot sample submitted for oil level sensor and 4W ISG</t>
  </si>
  <si>
    <t>New production line added in Rewari for ISG assembly for TVSM</t>
  </si>
  <si>
    <t>Received Go Green Gold certification on sustainability</t>
  </si>
  <si>
    <t>Rupee depreciation continued, affecting the import costs</t>
  </si>
  <si>
    <t>Partial compensation received from few customers for non-indexed commodities</t>
  </si>
  <si>
    <t>After market trend looks up consequent to advanced monsoon rains, introduction of new parts and special promotions</t>
  </si>
  <si>
    <t>EPS has increased by Rs. 2.25</t>
  </si>
  <si>
    <t>EBITDA(operations)  YOY increase by 37.9%</t>
  </si>
  <si>
    <t>EBITDA margin has increased from 9.2% to 10.6%</t>
  </si>
  <si>
    <t>PBT increase YOY by 46%</t>
  </si>
  <si>
    <t>Income from operations yoy growth by 20%</t>
  </si>
  <si>
    <t>Q-1</t>
  </si>
  <si>
    <r>
      <t>ROCE</t>
    </r>
    <r>
      <rPr>
        <sz val="12"/>
        <color rgb="FFFF0000"/>
        <rFont val="Calibri"/>
        <family val="2"/>
        <scheme val="minor"/>
      </rPr>
      <t xml:space="preserve">(operations) </t>
    </r>
    <r>
      <rPr>
        <sz val="12"/>
        <color theme="1"/>
        <rFont val="Calibri"/>
        <family val="2"/>
        <scheme val="minor"/>
      </rPr>
      <t>continues to be more than 30%</t>
    </r>
  </si>
  <si>
    <t>Profitability improvement mainly from better control on fixed cost &amp; sales mix (More export)</t>
  </si>
  <si>
    <t>Received Innovation partner award at Generac Supplier meet</t>
  </si>
  <si>
    <r>
      <rPr>
        <sz val="12"/>
        <rFont val="Calibri"/>
        <family val="2"/>
        <scheme val="minor"/>
      </rPr>
      <t>Received Platinum 5-Star Award</t>
    </r>
    <r>
      <rPr>
        <sz val="11"/>
        <rFont val="Aptos"/>
        <family val="2"/>
      </rPr>
      <t xml:space="preserve"> in the </t>
    </r>
    <r>
      <rPr>
        <i/>
        <sz val="11"/>
        <rFont val="Aptos"/>
        <family val="2"/>
      </rPr>
      <t>ESG Compliant Automotive Manufacturer</t>
    </r>
    <r>
      <rPr>
        <sz val="11"/>
        <rFont val="Aptos"/>
        <family val="2"/>
      </rPr>
      <t xml:space="preserve"> category by World Safety Organisation</t>
    </r>
  </si>
  <si>
    <t>Sales registered YoY growth by 3M 20%,  Vs Industry 12%</t>
  </si>
  <si>
    <t xml:space="preserve">Due to geo political situation China restricted the export of magnet </t>
  </si>
  <si>
    <t xml:space="preserve">US Tariff @ 25 % from 7th August </t>
  </si>
  <si>
    <t>FY26</t>
  </si>
  <si>
    <t>FY 26</t>
  </si>
  <si>
    <t>As on 31.3.26</t>
  </si>
  <si>
    <t>PBT before exceptional item</t>
  </si>
  <si>
    <t>Exceptional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</si>
</sst>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Verdana"/>
      <family val="2"/>
    </font>
    <font>
      <b/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Aptos"/>
      <family val="2"/>
    </font>
    <font>
      <i/>
      <sz val="1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7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4" xfId="1" applyFont="1" applyFill="1" applyBorder="1"/>
    <xf numFmtId="0" fontId="3" fillId="2" borderId="13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4" fontId="0" fillId="0" borderId="1" xfId="0" applyNumberFormat="1" applyBorder="1"/>
    <xf numFmtId="0" fontId="7" fillId="2" borderId="13" xfId="1" applyFont="1" applyFill="1" applyBorder="1"/>
    <xf numFmtId="0" fontId="0" fillId="0" borderId="4" xfId="0" applyBorder="1"/>
    <xf numFmtId="166" fontId="0" fillId="0" borderId="16" xfId="3" applyNumberFormat="1" applyFont="1" applyBorder="1"/>
    <xf numFmtId="3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4" xfId="0" applyFont="1" applyFill="1" applyBorder="1"/>
    <xf numFmtId="166" fontId="3" fillId="3" borderId="13" xfId="3" applyNumberFormat="1" applyFont="1" applyFill="1" applyBorder="1"/>
    <xf numFmtId="3" fontId="0" fillId="0" borderId="20" xfId="0" applyNumberFormat="1" applyBorder="1"/>
    <xf numFmtId="3" fontId="3" fillId="0" borderId="1" xfId="0" applyNumberFormat="1" applyFont="1" applyBorder="1"/>
    <xf numFmtId="0" fontId="3" fillId="3" borderId="21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6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166" fontId="0" fillId="0" borderId="23" xfId="3" applyNumberFormat="1" applyFont="1" applyBorder="1"/>
    <xf numFmtId="166" fontId="0" fillId="0" borderId="24" xfId="3" applyNumberFormat="1" applyFont="1" applyBorder="1"/>
    <xf numFmtId="166" fontId="3" fillId="3" borderId="25" xfId="3" applyNumberFormat="1" applyFont="1" applyFill="1" applyBorder="1"/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3" fillId="3" borderId="30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" fontId="0" fillId="0" borderId="15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1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166" fontId="0" fillId="0" borderId="32" xfId="3" applyNumberFormat="1" applyFont="1" applyFill="1" applyBorder="1"/>
    <xf numFmtId="166" fontId="0" fillId="3" borderId="15" xfId="3" applyNumberFormat="1" applyFont="1" applyFill="1" applyBorder="1"/>
    <xf numFmtId="0" fontId="3" fillId="2" borderId="31" xfId="1" applyFont="1" applyFill="1" applyBorder="1" applyAlignment="1">
      <alignment horizontal="center"/>
    </xf>
    <xf numFmtId="166" fontId="3" fillId="3" borderId="31" xfId="3" applyNumberFormat="1" applyFont="1" applyFill="1" applyBorder="1"/>
    <xf numFmtId="166" fontId="0" fillId="0" borderId="20" xfId="3" applyNumberFormat="1" applyFont="1" applyBorder="1"/>
    <xf numFmtId="166" fontId="0" fillId="0" borderId="32" xfId="3" applyNumberFormat="1" applyFont="1" applyBorder="1"/>
    <xf numFmtId="166" fontId="0" fillId="0" borderId="15" xfId="3" applyNumberFormat="1" applyFont="1" applyBorder="1"/>
    <xf numFmtId="166" fontId="3" fillId="3" borderId="34" xfId="3" applyNumberFormat="1" applyFont="1" applyFill="1" applyBorder="1"/>
    <xf numFmtId="166" fontId="3" fillId="3" borderId="32" xfId="3" applyNumberFormat="1" applyFont="1" applyFill="1" applyBorder="1"/>
    <xf numFmtId="2" fontId="3" fillId="0" borderId="32" xfId="0" applyNumberFormat="1" applyFont="1" applyBorder="1"/>
    <xf numFmtId="1" fontId="0" fillId="0" borderId="32" xfId="0" applyNumberFormat="1" applyBorder="1"/>
    <xf numFmtId="0" fontId="0" fillId="0" borderId="32" xfId="0" applyBorder="1"/>
    <xf numFmtId="166" fontId="3" fillId="3" borderId="33" xfId="3" applyNumberFormat="1" applyFont="1" applyFill="1" applyBorder="1"/>
    <xf numFmtId="0" fontId="0" fillId="0" borderId="34" xfId="0" applyBorder="1"/>
    <xf numFmtId="166" fontId="3" fillId="3" borderId="20" xfId="3" applyNumberFormat="1" applyFont="1" applyFill="1" applyBorder="1"/>
    <xf numFmtId="3" fontId="3" fillId="3" borderId="15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5" xfId="0" applyNumberFormat="1" applyBorder="1"/>
    <xf numFmtId="3" fontId="0" fillId="0" borderId="32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0" xfId="0" applyFont="1" applyFill="1" applyAlignment="1">
      <alignment horizontal="center"/>
    </xf>
    <xf numFmtId="166" fontId="0" fillId="0" borderId="0" xfId="3" applyNumberFormat="1" applyFont="1" applyFill="1" applyBorder="1"/>
    <xf numFmtId="0" fontId="3" fillId="2" borderId="36" xfId="1" applyFont="1" applyFill="1" applyBorder="1" applyAlignment="1">
      <alignment horizontal="center"/>
    </xf>
    <xf numFmtId="0" fontId="10" fillId="0" borderId="34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3" borderId="32" xfId="0" applyFill="1" applyBorder="1"/>
    <xf numFmtId="2" fontId="0" fillId="0" borderId="32" xfId="0" applyNumberFormat="1" applyBorder="1"/>
    <xf numFmtId="1" fontId="0" fillId="5" borderId="1" xfId="0" applyNumberFormat="1" applyFill="1" applyBorder="1"/>
    <xf numFmtId="166" fontId="3" fillId="5" borderId="0" xfId="3" applyNumberFormat="1" applyFont="1" applyFill="1" applyBorder="1"/>
    <xf numFmtId="0" fontId="3" fillId="2" borderId="7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165" fontId="2" fillId="0" borderId="0" xfId="2" applyNumberFormat="1" applyFont="1"/>
    <xf numFmtId="3" fontId="0" fillId="0" borderId="0" xfId="0" applyNumberFormat="1"/>
    <xf numFmtId="10" fontId="0" fillId="0" borderId="0" xfId="2" applyNumberFormat="1" applyFont="1" applyBorder="1"/>
    <xf numFmtId="9" fontId="0" fillId="0" borderId="0" xfId="2" applyFont="1" applyBorder="1"/>
    <xf numFmtId="43" fontId="0" fillId="0" borderId="0" xfId="3" applyFont="1" applyBorder="1"/>
    <xf numFmtId="165" fontId="0" fillId="0" borderId="0" xfId="2" applyNumberFormat="1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167" fontId="17" fillId="0" borderId="0" xfId="3" applyNumberFormat="1" applyFont="1" applyFill="1" applyBorder="1" applyAlignment="1">
      <alignment horizontal="right" vertical="center" wrapText="1"/>
    </xf>
    <xf numFmtId="0" fontId="3" fillId="0" borderId="37" xfId="1" applyFont="1" applyBorder="1" applyAlignment="1">
      <alignment horizontal="center"/>
    </xf>
    <xf numFmtId="166" fontId="3" fillId="0" borderId="0" xfId="3" applyNumberFormat="1" applyFont="1" applyFill="1" applyBorder="1"/>
    <xf numFmtId="10" fontId="0" fillId="0" borderId="0" xfId="2" applyNumberFormat="1" applyFont="1" applyFill="1" applyBorder="1"/>
    <xf numFmtId="9" fontId="0" fillId="0" borderId="0" xfId="2" applyFont="1" applyFill="1" applyBorder="1"/>
    <xf numFmtId="43" fontId="0" fillId="0" borderId="0" xfId="3" applyFont="1" applyFill="1" applyBorder="1"/>
    <xf numFmtId="0" fontId="3" fillId="0" borderId="0" xfId="1" applyFont="1" applyAlignment="1">
      <alignment horizontal="center"/>
    </xf>
    <xf numFmtId="4" fontId="0" fillId="3" borderId="32" xfId="0" applyNumberFormat="1" applyFill="1" applyBorder="1"/>
    <xf numFmtId="166" fontId="9" fillId="0" borderId="1" xfId="3" applyNumberFormat="1" applyFont="1" applyBorder="1"/>
    <xf numFmtId="43" fontId="0" fillId="10" borderId="0" xfId="0" applyNumberFormat="1" applyFill="1"/>
    <xf numFmtId="10" fontId="3" fillId="9" borderId="0" xfId="2" applyNumberFormat="1" applyFont="1" applyFill="1"/>
    <xf numFmtId="0" fontId="9" fillId="3" borderId="1" xfId="0" applyFont="1" applyFill="1" applyBorder="1"/>
    <xf numFmtId="3" fontId="9" fillId="0" borderId="1" xfId="0" applyNumberFormat="1" applyFont="1" applyBorder="1"/>
    <xf numFmtId="43" fontId="3" fillId="0" borderId="1" xfId="3" applyFont="1" applyFill="1" applyBorder="1"/>
    <xf numFmtId="0" fontId="3" fillId="7" borderId="39" xfId="0" applyFont="1" applyFill="1" applyBorder="1" applyAlignment="1">
      <alignment horizontal="center"/>
    </xf>
    <xf numFmtId="0" fontId="3" fillId="7" borderId="38" xfId="0" applyFont="1" applyFill="1" applyBorder="1" applyAlignment="1">
      <alignment horizontal="center"/>
    </xf>
    <xf numFmtId="166" fontId="0" fillId="0" borderId="1" xfId="0" applyNumberFormat="1" applyBorder="1"/>
    <xf numFmtId="165" fontId="0" fillId="0" borderId="1" xfId="2" applyNumberFormat="1" applyFont="1" applyBorder="1"/>
    <xf numFmtId="0" fontId="3" fillId="0" borderId="40" xfId="0" applyFont="1" applyBorder="1" applyAlignment="1">
      <alignment horizontal="right"/>
    </xf>
    <xf numFmtId="166" fontId="0" fillId="0" borderId="41" xfId="3" applyNumberFormat="1" applyFont="1" applyFill="1" applyBorder="1"/>
    <xf numFmtId="166" fontId="0" fillId="0" borderId="42" xfId="3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9" fillId="3" borderId="1" xfId="0" applyNumberFormat="1" applyFont="1" applyFill="1" applyBorder="1"/>
    <xf numFmtId="2" fontId="9" fillId="3" borderId="8" xfId="0" applyNumberFormat="1" applyFont="1" applyFill="1" applyBorder="1"/>
    <xf numFmtId="10" fontId="9" fillId="3" borderId="1" xfId="2" applyNumberFormat="1" applyFont="1" applyFill="1" applyBorder="1"/>
    <xf numFmtId="0" fontId="3" fillId="0" borderId="3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9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top" wrapText="1"/>
    </xf>
    <xf numFmtId="0" fontId="11" fillId="0" borderId="0" xfId="0" applyFont="1"/>
    <xf numFmtId="1" fontId="3" fillId="0" borderId="1" xfId="0" applyNumberFormat="1" applyFont="1" applyBorder="1" applyAlignment="1">
      <alignment horizontal="right"/>
    </xf>
    <xf numFmtId="1" fontId="0" fillId="0" borderId="1" xfId="3" applyNumberFormat="1" applyFont="1" applyFill="1" applyBorder="1"/>
    <xf numFmtId="166" fontId="9" fillId="0" borderId="13" xfId="3" applyNumberFormat="1" applyFont="1" applyFill="1" applyBorder="1"/>
    <xf numFmtId="164" fontId="0" fillId="0" borderId="0" xfId="0" applyNumberFormat="1"/>
    <xf numFmtId="168" fontId="0" fillId="0" borderId="0" xfId="3" applyNumberFormat="1" applyFont="1" applyFill="1"/>
    <xf numFmtId="165" fontId="6" fillId="3" borderId="32" xfId="2" applyNumberFormat="1" applyFont="1" applyFill="1" applyBorder="1" applyAlignment="1">
      <alignment horizontal="right"/>
    </xf>
    <xf numFmtId="165" fontId="18" fillId="0" borderId="0" xfId="2" applyNumberFormat="1" applyFont="1" applyFill="1" applyBorder="1" applyAlignment="1">
      <alignment horizontal="right"/>
    </xf>
    <xf numFmtId="10" fontId="6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43" fontId="3" fillId="0" borderId="0" xfId="3" applyFont="1" applyFill="1" applyBorder="1"/>
    <xf numFmtId="3" fontId="9" fillId="0" borderId="0" xfId="0" applyNumberFormat="1" applyFont="1"/>
    <xf numFmtId="0" fontId="3" fillId="7" borderId="4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7" borderId="34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/>
    <xf numFmtId="0" fontId="3" fillId="2" borderId="1" xfId="1" applyFont="1" applyFill="1" applyBorder="1" applyAlignment="1">
      <alignment horizontal="right"/>
    </xf>
    <xf numFmtId="1" fontId="0" fillId="0" borderId="1" xfId="2" applyNumberFormat="1" applyFont="1" applyBorder="1"/>
    <xf numFmtId="0" fontId="0" fillId="3" borderId="1" xfId="0" applyFont="1" applyFill="1" applyBorder="1"/>
    <xf numFmtId="166" fontId="0" fillId="0" borderId="3" xfId="3" applyNumberFormat="1" applyFont="1" applyBorder="1"/>
    <xf numFmtId="166" fontId="3" fillId="3" borderId="15" xfId="3" applyNumberFormat="1" applyFont="1" applyFill="1" applyBorder="1"/>
    <xf numFmtId="3" fontId="0" fillId="0" borderId="33" xfId="0" applyNumberFormat="1" applyBorder="1"/>
    <xf numFmtId="3" fontId="0" fillId="0" borderId="2" xfId="0" applyNumberFormat="1" applyBorder="1"/>
    <xf numFmtId="166" fontId="3" fillId="3" borderId="43" xfId="3" applyNumberFormat="1" applyFont="1" applyFill="1" applyBorder="1"/>
    <xf numFmtId="166" fontId="0" fillId="0" borderId="2" xfId="3" applyNumberFormat="1" applyFont="1" applyBorder="1"/>
  </cellXfs>
  <cellStyles count="4">
    <cellStyle name="Comma" xfId="3" builtinId="3"/>
    <cellStyle name="Normal" xfId="0" builtinId="0"/>
    <cellStyle name="Per 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9"/>
  <sheetViews>
    <sheetView tabSelected="1" zoomScale="85" zoomScaleNormal="85" zoomScaleSheetLayoutView="91" workbookViewId="0">
      <pane xSplit="1" ySplit="5" topLeftCell="N76" activePane="bottomRight" state="frozen"/>
      <selection pane="topRight" activeCell="B1" sqref="B1"/>
      <selection pane="bottomLeft" activeCell="A6" sqref="A6"/>
      <selection pane="bottomRight" activeCell="Z12" sqref="Z12:AA12"/>
    </sheetView>
  </sheetViews>
  <sheetFormatPr defaultRowHeight="14.5" x14ac:dyDescent="0.35"/>
  <cols>
    <col min="1" max="1" width="40.26953125" customWidth="1"/>
    <col min="2" max="2" width="12.453125" customWidth="1"/>
    <col min="3" max="6" width="12.81640625" bestFit="1" customWidth="1"/>
    <col min="7" max="7" width="13.453125" bestFit="1" customWidth="1"/>
    <col min="8" max="8" width="12.81640625" customWidth="1"/>
    <col min="9" max="9" width="14.1796875" customWidth="1"/>
    <col min="10" max="10" width="12.453125" customWidth="1"/>
    <col min="11" max="13" width="12.81640625" customWidth="1"/>
    <col min="14" max="14" width="8.81640625" customWidth="1"/>
    <col min="15" max="15" width="39.26953125" bestFit="1" customWidth="1"/>
    <col min="16" max="17" width="6.453125" hidden="1" customWidth="1"/>
    <col min="18" max="18" width="0.1796875" customWidth="1"/>
    <col min="19" max="19" width="0.54296875" customWidth="1"/>
    <col min="20" max="20" width="10.81640625" customWidth="1"/>
    <col min="21" max="22" width="10" customWidth="1"/>
    <col min="23" max="23" width="9.7265625" customWidth="1"/>
    <col min="24" max="24" width="10" bestFit="1" customWidth="1"/>
    <col min="25" max="25" width="9.26953125" customWidth="1"/>
    <col min="26" max="26" width="12.1796875" bestFit="1" customWidth="1"/>
    <col min="27" max="27" width="13.26953125" customWidth="1"/>
    <col min="29" max="29" width="12.7265625" bestFit="1" customWidth="1"/>
    <col min="36" max="36" width="13.1796875" bestFit="1" customWidth="1"/>
    <col min="40" max="40" width="5" bestFit="1" customWidth="1"/>
  </cols>
  <sheetData>
    <row r="1" spans="1:28" ht="15" thickBot="1" x14ac:dyDescent="0.4"/>
    <row r="2" spans="1:28" ht="15" thickBot="1" x14ac:dyDescent="0.4">
      <c r="A2" s="216" t="s">
        <v>188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8"/>
    </row>
    <row r="4" spans="1:28" x14ac:dyDescent="0.35">
      <c r="A4" s="219" t="s">
        <v>0</v>
      </c>
      <c r="B4" s="220"/>
      <c r="C4" s="220"/>
      <c r="D4" s="220"/>
      <c r="E4" s="220"/>
      <c r="F4" s="220"/>
      <c r="G4" s="220"/>
      <c r="H4" s="220"/>
      <c r="I4" s="221"/>
      <c r="J4" s="221"/>
      <c r="K4" s="222"/>
      <c r="L4" s="142"/>
      <c r="M4" s="142"/>
      <c r="O4" s="223" t="s">
        <v>141</v>
      </c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</row>
    <row r="5" spans="1:28" ht="15" thickBot="1" x14ac:dyDescent="0.4">
      <c r="A5" s="62" t="s">
        <v>23</v>
      </c>
      <c r="B5" s="63" t="s">
        <v>5</v>
      </c>
      <c r="C5" s="63" t="s">
        <v>6</v>
      </c>
      <c r="D5" s="63" t="s">
        <v>171</v>
      </c>
      <c r="E5" s="63" t="s">
        <v>172</v>
      </c>
      <c r="F5" s="63" t="s">
        <v>182</v>
      </c>
      <c r="G5" s="63" t="s">
        <v>209</v>
      </c>
      <c r="H5" s="63" t="s">
        <v>213</v>
      </c>
      <c r="I5" s="63" t="s">
        <v>237</v>
      </c>
      <c r="J5" s="173"/>
      <c r="K5" s="173"/>
      <c r="L5" s="168"/>
      <c r="M5" s="144"/>
      <c r="N5" s="144"/>
      <c r="O5" s="57" t="s">
        <v>1</v>
      </c>
      <c r="P5" s="67" t="s">
        <v>104</v>
      </c>
      <c r="Q5" s="58" t="s">
        <v>2</v>
      </c>
      <c r="R5" s="58" t="s">
        <v>3</v>
      </c>
      <c r="S5" s="58" t="s">
        <v>4</v>
      </c>
      <c r="T5" s="58" t="s">
        <v>5</v>
      </c>
      <c r="U5" s="58" t="s">
        <v>6</v>
      </c>
      <c r="V5" s="58" t="s">
        <v>171</v>
      </c>
      <c r="W5" s="58" t="s">
        <v>172</v>
      </c>
      <c r="X5" s="116" t="s">
        <v>182</v>
      </c>
      <c r="Y5" s="116" t="s">
        <v>209</v>
      </c>
      <c r="Z5" s="152" t="s">
        <v>213</v>
      </c>
      <c r="AA5" s="152" t="s">
        <v>237</v>
      </c>
    </row>
    <row r="6" spans="1:28" x14ac:dyDescent="0.35">
      <c r="A6" s="1" t="s">
        <v>190</v>
      </c>
      <c r="B6" s="18">
        <v>5252</v>
      </c>
      <c r="C6" s="18">
        <v>4788</v>
      </c>
      <c r="D6" s="18">
        <v>4812</v>
      </c>
      <c r="E6" s="81">
        <v>5663</v>
      </c>
      <c r="F6" s="81">
        <v>6562.5</v>
      </c>
      <c r="G6" s="81">
        <v>7240.8</v>
      </c>
      <c r="H6" s="81">
        <v>8448.2999999999993</v>
      </c>
      <c r="I6" s="81">
        <f>106848/10</f>
        <v>10684.8</v>
      </c>
      <c r="J6" s="156"/>
      <c r="K6" s="156"/>
      <c r="L6" s="156"/>
      <c r="M6" s="160"/>
      <c r="N6" s="155"/>
      <c r="O6" s="68" t="s">
        <v>30</v>
      </c>
      <c r="P6" s="69">
        <v>197.88</v>
      </c>
      <c r="Q6" s="69">
        <v>234.64599999999999</v>
      </c>
      <c r="R6" s="69">
        <v>234.64599999999999</v>
      </c>
      <c r="S6" s="69">
        <v>234.64599999999999</v>
      </c>
      <c r="T6" s="70">
        <v>113</v>
      </c>
      <c r="U6" s="70">
        <v>113</v>
      </c>
      <c r="V6" s="80">
        <v>113</v>
      </c>
      <c r="W6" s="70">
        <v>113</v>
      </c>
      <c r="X6" s="80">
        <v>113</v>
      </c>
      <c r="Y6" s="80">
        <v>113.1</v>
      </c>
      <c r="Z6" s="80">
        <v>113.1</v>
      </c>
      <c r="AA6" s="80">
        <v>113.1</v>
      </c>
    </row>
    <row r="7" spans="1:28" ht="15" thickBot="1" x14ac:dyDescent="0.4">
      <c r="A7" s="2" t="s">
        <v>16</v>
      </c>
      <c r="B7" s="19">
        <f>147-B73-B77</f>
        <v>135.547</v>
      </c>
      <c r="C7" s="19">
        <f>263-C73-C77</f>
        <v>260.44800000000004</v>
      </c>
      <c r="D7" s="19">
        <f>162-D73-D77</f>
        <v>151.52799999999999</v>
      </c>
      <c r="E7" s="59">
        <f>253-E73-E77</f>
        <v>251.93799999999999</v>
      </c>
      <c r="F7" s="59">
        <v>225.6</v>
      </c>
      <c r="G7" s="59">
        <v>248.7</v>
      </c>
      <c r="H7" s="179">
        <f>301.1-H73-H77</f>
        <v>287.10000000000002</v>
      </c>
      <c r="I7" s="179">
        <f>306.3-I73-I77</f>
        <v>269.5</v>
      </c>
      <c r="J7" s="212"/>
      <c r="K7" s="156"/>
      <c r="L7" s="156"/>
      <c r="M7" s="156"/>
      <c r="N7" s="155"/>
      <c r="O7" s="43" t="s">
        <v>31</v>
      </c>
      <c r="P7" s="23">
        <v>2717.3919999999998</v>
      </c>
      <c r="Q7" s="23">
        <v>2956.4349999999999</v>
      </c>
      <c r="R7" s="23">
        <v>3105.165</v>
      </c>
      <c r="S7" s="23">
        <v>3586.8150000000001</v>
      </c>
      <c r="T7" s="77">
        <v>3891</v>
      </c>
      <c r="U7" s="77">
        <v>4085</v>
      </c>
      <c r="V7" s="104">
        <v>4397</v>
      </c>
      <c r="W7" s="105">
        <v>4939</v>
      </c>
      <c r="X7" s="138">
        <v>5490.2</v>
      </c>
      <c r="Y7" s="138">
        <v>6119.4</v>
      </c>
      <c r="Z7" s="233">
        <v>6998.7</v>
      </c>
      <c r="AA7" s="234">
        <f>81001.60897/10</f>
        <v>8100.1608969999997</v>
      </c>
      <c r="AB7" s="109"/>
    </row>
    <row r="8" spans="1:28" ht="15" thickBot="1" x14ac:dyDescent="0.4">
      <c r="A8" s="49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I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8735.4</v>
      </c>
      <c r="I8" s="20">
        <f t="shared" si="1"/>
        <v>10954.3</v>
      </c>
      <c r="J8" s="169"/>
      <c r="K8" s="169"/>
      <c r="L8" s="169"/>
      <c r="M8" s="160"/>
      <c r="N8" s="155"/>
      <c r="O8" s="78" t="s">
        <v>63</v>
      </c>
      <c r="P8" s="79">
        <f>SUM(P6:P7)</f>
        <v>2915.2719999999999</v>
      </c>
      <c r="Q8" s="79">
        <f>SUM(Q6:Q7)</f>
        <v>3191.0810000000001</v>
      </c>
      <c r="R8" s="79">
        <f t="shared" ref="R8:U8" si="2">SUM(R6:R7)</f>
        <v>3339.8110000000001</v>
      </c>
      <c r="S8" s="79">
        <f t="shared" si="2"/>
        <v>3821.4610000000002</v>
      </c>
      <c r="T8" s="79">
        <f t="shared" si="2"/>
        <v>4004</v>
      </c>
      <c r="U8" s="79">
        <f t="shared" si="2"/>
        <v>4198</v>
      </c>
      <c r="V8" s="79">
        <f>SUM(V6:V7)</f>
        <v>4510</v>
      </c>
      <c r="W8" s="79">
        <f>SUM(W6:W7)</f>
        <v>5052</v>
      </c>
      <c r="X8" s="117">
        <f>SUM(X6:X7)</f>
        <v>5603.2</v>
      </c>
      <c r="Y8" s="117">
        <f>Y7+Y6</f>
        <v>6232.5</v>
      </c>
      <c r="Z8" s="235">
        <f>Z7+Z6</f>
        <v>7111.8</v>
      </c>
      <c r="AA8" s="235">
        <f>AA7+AA6</f>
        <v>8213.2608970000001</v>
      </c>
    </row>
    <row r="9" spans="1:28" x14ac:dyDescent="0.35">
      <c r="A9" s="60" t="s">
        <v>8</v>
      </c>
      <c r="B9" s="28"/>
      <c r="C9" s="28">
        <f>+C8/B8-1</f>
        <v>-6.2941260651647069E-2</v>
      </c>
      <c r="D9" s="28">
        <f>+D8/C8-1</f>
        <v>-1.6821011130549457E-2</v>
      </c>
      <c r="E9" s="28">
        <f>E8/D8-1</f>
        <v>0.19168019199246977</v>
      </c>
      <c r="F9" s="28">
        <f>F8/E8-1</f>
        <v>0.1476198059895133</v>
      </c>
      <c r="G9" s="28">
        <f>G8/F8-1</f>
        <v>0.10332788261811099</v>
      </c>
      <c r="H9" s="28">
        <f>H8/G8-1</f>
        <v>0.16635289405167231</v>
      </c>
      <c r="I9" s="28">
        <f>I8/H8-1</f>
        <v>0.25401240927719382</v>
      </c>
      <c r="J9" s="208"/>
      <c r="K9" s="208"/>
      <c r="L9" s="156"/>
      <c r="M9" s="156"/>
      <c r="N9" s="155"/>
      <c r="O9" s="68" t="s">
        <v>32</v>
      </c>
      <c r="P9" s="69">
        <v>4.13</v>
      </c>
      <c r="Q9" s="69">
        <v>3.39</v>
      </c>
      <c r="R9" s="69">
        <v>3.0910000000000002</v>
      </c>
      <c r="S9" s="69">
        <v>3.0790000000000002</v>
      </c>
      <c r="T9" s="69"/>
      <c r="U9" s="69"/>
      <c r="V9" s="69"/>
      <c r="W9" s="69"/>
      <c r="X9" s="118"/>
      <c r="Y9" s="69"/>
      <c r="Z9" s="231"/>
      <c r="AA9" s="231"/>
    </row>
    <row r="10" spans="1:28" x14ac:dyDescent="0.35">
      <c r="A10" s="60" t="s">
        <v>9</v>
      </c>
      <c r="B10" s="28"/>
      <c r="C10" s="28"/>
      <c r="D10" s="28"/>
      <c r="E10" s="28">
        <f>((E8/B8)^(1/3)-1)</f>
        <v>3.1619893285841583E-2</v>
      </c>
      <c r="F10" s="28">
        <f>((F8/C8)^(1/3)-1)</f>
        <v>0.10373152743222058</v>
      </c>
      <c r="G10" s="28">
        <f>((G8/D8)^(1/3)-1)</f>
        <v>0.14697543418892556</v>
      </c>
      <c r="H10" s="28">
        <f>((H8/E8)^(1/3)-1)</f>
        <v>0.13879145542980842</v>
      </c>
      <c r="I10" s="28">
        <f>((I8/F8)^(1/3)-1)</f>
        <v>0.17294810961602747</v>
      </c>
      <c r="J10" s="208"/>
      <c r="K10" s="208"/>
      <c r="L10" s="156"/>
      <c r="M10" s="156"/>
      <c r="N10" s="155"/>
      <c r="O10" s="25" t="s">
        <v>64</v>
      </c>
      <c r="P10" s="19">
        <v>317.31900000000002</v>
      </c>
      <c r="Q10" s="19">
        <v>541.88300000000004</v>
      </c>
      <c r="R10" s="19">
        <v>678.76199999999994</v>
      </c>
      <c r="S10" s="19">
        <v>636.74099999999999</v>
      </c>
      <c r="T10" s="19">
        <v>0</v>
      </c>
      <c r="U10" s="19">
        <v>0</v>
      </c>
      <c r="V10" s="19">
        <v>0</v>
      </c>
      <c r="W10" s="19">
        <v>0</v>
      </c>
      <c r="X10" s="119">
        <v>0</v>
      </c>
      <c r="Y10" s="19">
        <v>0</v>
      </c>
      <c r="Z10" s="19">
        <v>0</v>
      </c>
      <c r="AA10" s="19"/>
    </row>
    <row r="11" spans="1:28" ht="15" thickBot="1" x14ac:dyDescent="0.4">
      <c r="A11" s="49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3">SUM(D12:D17)</f>
        <v>4348.5280000000002</v>
      </c>
      <c r="E11" s="20">
        <f t="shared" ref="E11:I11" si="4">SUM(E12:E17)</f>
        <v>5165.9380000000001</v>
      </c>
      <c r="F11" s="20">
        <f t="shared" si="4"/>
        <v>6033.5000000000009</v>
      </c>
      <c r="G11" s="20">
        <f t="shared" si="4"/>
        <v>6576.9</v>
      </c>
      <c r="H11" s="20">
        <f t="shared" si="4"/>
        <v>7496.6</v>
      </c>
      <c r="I11" s="20">
        <f t="shared" si="4"/>
        <v>9462.7999999999993</v>
      </c>
      <c r="J11" s="169"/>
      <c r="K11" s="169"/>
      <c r="L11" s="156"/>
      <c r="M11" s="156"/>
      <c r="N11" s="155"/>
      <c r="O11" s="43" t="s">
        <v>65</v>
      </c>
      <c r="P11" s="23">
        <v>858.25300000000004</v>
      </c>
      <c r="Q11" s="23">
        <v>824.23699999999997</v>
      </c>
      <c r="R11" s="23">
        <v>248.01300000000001</v>
      </c>
      <c r="S11" s="23">
        <v>5.7430000000000003</v>
      </c>
      <c r="T11" s="23">
        <v>0</v>
      </c>
      <c r="U11" s="23">
        <v>0</v>
      </c>
      <c r="V11" s="23">
        <v>0</v>
      </c>
      <c r="W11" s="23">
        <v>0</v>
      </c>
      <c r="X11" s="120">
        <v>0</v>
      </c>
      <c r="Y11" s="23">
        <v>0</v>
      </c>
      <c r="Z11" s="236">
        <v>0</v>
      </c>
      <c r="AA11" s="236"/>
    </row>
    <row r="12" spans="1:28" x14ac:dyDescent="0.35">
      <c r="A12" s="2" t="s">
        <v>11</v>
      </c>
      <c r="B12" s="19">
        <v>3423</v>
      </c>
      <c r="C12" s="19">
        <v>3143</v>
      </c>
      <c r="D12" s="19">
        <v>3263</v>
      </c>
      <c r="E12" s="59">
        <v>3859</v>
      </c>
      <c r="F12" s="59">
        <v>4412.3</v>
      </c>
      <c r="G12" s="59">
        <v>4755</v>
      </c>
      <c r="H12" s="59">
        <v>5486.9</v>
      </c>
      <c r="I12" s="59">
        <f>70460/10</f>
        <v>7046</v>
      </c>
      <c r="J12" s="156"/>
      <c r="K12" s="156"/>
      <c r="L12" s="156"/>
      <c r="M12" s="156"/>
      <c r="N12" s="155"/>
      <c r="O12" s="75" t="s">
        <v>66</v>
      </c>
      <c r="P12" s="76">
        <f>P10+P11</f>
        <v>1175.5720000000001</v>
      </c>
      <c r="Q12" s="76">
        <f>Q10+Q11</f>
        <v>1366.12</v>
      </c>
      <c r="R12" s="76">
        <f t="shared" ref="R12:S12" si="5">R10+R11</f>
        <v>926.77499999999998</v>
      </c>
      <c r="S12" s="76">
        <f t="shared" si="5"/>
        <v>642.48400000000004</v>
      </c>
      <c r="T12" s="76">
        <v>0</v>
      </c>
      <c r="U12" s="76">
        <v>0</v>
      </c>
      <c r="V12" s="76">
        <v>0</v>
      </c>
      <c r="W12" s="76">
        <f>W10+W11</f>
        <v>0</v>
      </c>
      <c r="X12" s="121">
        <f>X10+X11</f>
        <v>0</v>
      </c>
      <c r="Y12" s="121">
        <v>0</v>
      </c>
      <c r="Z12" s="85">
        <f>Y12</f>
        <v>0</v>
      </c>
      <c r="AA12" s="128">
        <f>Z12</f>
        <v>0</v>
      </c>
    </row>
    <row r="13" spans="1:28" x14ac:dyDescent="0.35">
      <c r="A13" s="2" t="s">
        <v>24</v>
      </c>
      <c r="B13" s="19">
        <v>0</v>
      </c>
      <c r="C13" s="19">
        <v>0</v>
      </c>
      <c r="D13" s="19">
        <v>0</v>
      </c>
      <c r="E13" s="59">
        <v>113</v>
      </c>
      <c r="F13" s="59">
        <v>164.6</v>
      </c>
      <c r="G13" s="59">
        <v>243.8</v>
      </c>
      <c r="H13" s="59">
        <v>292.8</v>
      </c>
      <c r="I13" s="59">
        <f>3343/10</f>
        <v>334.3</v>
      </c>
      <c r="J13" s="156"/>
      <c r="K13" s="156"/>
      <c r="L13" s="156"/>
      <c r="M13" s="156"/>
      <c r="N13" s="155"/>
      <c r="O13" s="26" t="s">
        <v>67</v>
      </c>
      <c r="P13" s="20">
        <f t="shared" ref="P13:S13" si="6">+P8+P9+P20+P21+P10</f>
        <v>3335.8420000000001</v>
      </c>
      <c r="Q13" s="20">
        <f t="shared" si="6"/>
        <v>3848.4470000000001</v>
      </c>
      <c r="R13" s="20">
        <f t="shared" si="6"/>
        <v>4139.7920000000004</v>
      </c>
      <c r="S13" s="20">
        <f t="shared" si="6"/>
        <v>4663.8350000000009</v>
      </c>
      <c r="T13" s="20">
        <f>+T8+T9+T20+T21+T10</f>
        <v>4065</v>
      </c>
      <c r="U13" s="20">
        <f t="shared" ref="U13:Y13" si="7">U8+U22</f>
        <v>4344</v>
      </c>
      <c r="V13" s="20">
        <f t="shared" si="7"/>
        <v>4688.1000000000004</v>
      </c>
      <c r="W13" s="20">
        <f t="shared" si="7"/>
        <v>5326</v>
      </c>
      <c r="X13" s="122">
        <f t="shared" si="7"/>
        <v>5963.2</v>
      </c>
      <c r="Y13" s="122">
        <f t="shared" si="7"/>
        <v>6666.9</v>
      </c>
      <c r="Z13" s="121">
        <f>Z8+Z22</f>
        <v>7554.3</v>
      </c>
      <c r="AA13" s="121">
        <f>AA8+AA22</f>
        <v>8732.3356760931529</v>
      </c>
    </row>
    <row r="14" spans="1:28" x14ac:dyDescent="0.35">
      <c r="A14" s="61" t="s">
        <v>25</v>
      </c>
      <c r="B14" s="19">
        <v>-5</v>
      </c>
      <c r="C14" s="19">
        <v>3</v>
      </c>
      <c r="D14" s="19">
        <v>-13</v>
      </c>
      <c r="E14" s="54">
        <v>-18</v>
      </c>
      <c r="F14" s="2">
        <v>-32</v>
      </c>
      <c r="G14" s="54">
        <v>-3.5</v>
      </c>
      <c r="H14" s="59">
        <v>-42.8</v>
      </c>
      <c r="I14" s="59">
        <f>101/10</f>
        <v>10.1</v>
      </c>
      <c r="J14" s="156"/>
      <c r="K14" s="156"/>
      <c r="L14" s="156"/>
      <c r="M14" s="156"/>
      <c r="N14" s="155"/>
      <c r="O14" s="26" t="s">
        <v>67</v>
      </c>
      <c r="P14" s="20">
        <f t="shared" ref="P14:X14" si="8">P64-P36-P11</f>
        <v>3335.8420000000001</v>
      </c>
      <c r="Q14" s="20">
        <f t="shared" si="8"/>
        <v>3667.9179999999997</v>
      </c>
      <c r="R14" s="20">
        <f t="shared" si="8"/>
        <v>3921.8620000000001</v>
      </c>
      <c r="S14" s="20">
        <f t="shared" si="8"/>
        <v>4298.7659999999996</v>
      </c>
      <c r="T14" s="20">
        <f>T64-T36-T11</f>
        <v>4065</v>
      </c>
      <c r="U14" s="20">
        <f t="shared" si="8"/>
        <v>4344.3</v>
      </c>
      <c r="V14" s="20">
        <f t="shared" si="8"/>
        <v>4686.5</v>
      </c>
      <c r="W14" s="20">
        <f>W64-W36-W11</f>
        <v>5326</v>
      </c>
      <c r="X14" s="122">
        <f t="shared" si="8"/>
        <v>5963.3000000000011</v>
      </c>
      <c r="Y14" s="122">
        <f>Y64-Y36-Y11</f>
        <v>6666.9</v>
      </c>
      <c r="Z14" s="122">
        <f>Z64-Z36-Z11</f>
        <v>7554.2999999999993</v>
      </c>
      <c r="AA14" s="122">
        <f>AA64-AA36-AA11</f>
        <v>8732.3337911128729</v>
      </c>
    </row>
    <row r="15" spans="1:28" x14ac:dyDescent="0.35">
      <c r="A15" s="2" t="s">
        <v>192</v>
      </c>
      <c r="B15" s="19">
        <v>575</v>
      </c>
      <c r="C15" s="19">
        <v>604</v>
      </c>
      <c r="D15" s="19">
        <v>661</v>
      </c>
      <c r="E15" s="54">
        <v>679</v>
      </c>
      <c r="F15" s="59">
        <v>797.1</v>
      </c>
      <c r="G15" s="59">
        <v>879.7</v>
      </c>
      <c r="H15" s="59">
        <v>985.3</v>
      </c>
      <c r="I15" s="59">
        <f>11887/10</f>
        <v>1188.7</v>
      </c>
      <c r="J15" s="156"/>
      <c r="K15" s="156"/>
      <c r="L15" s="156"/>
      <c r="M15" s="156"/>
      <c r="N15" s="155"/>
      <c r="O15" s="24"/>
      <c r="P15" s="3"/>
      <c r="Q15" s="3"/>
      <c r="R15" s="3"/>
      <c r="S15" s="3"/>
      <c r="T15" s="3"/>
      <c r="U15" s="3"/>
      <c r="V15" s="3"/>
      <c r="W15" s="3"/>
      <c r="X15" s="123"/>
      <c r="Y15" s="2"/>
      <c r="Z15" s="19"/>
      <c r="AA15" s="2"/>
    </row>
    <row r="16" spans="1:28" x14ac:dyDescent="0.35">
      <c r="A16" s="2" t="s">
        <v>12</v>
      </c>
      <c r="B16" s="19">
        <v>262</v>
      </c>
      <c r="C16" s="19">
        <v>229</v>
      </c>
      <c r="D16" s="19">
        <v>216</v>
      </c>
      <c r="E16" s="59">
        <v>256</v>
      </c>
      <c r="F16" s="59">
        <v>402.7</v>
      </c>
      <c r="G16" s="59">
        <v>411.9</v>
      </c>
      <c r="H16" s="59">
        <f>433.8</f>
        <v>433.8</v>
      </c>
      <c r="I16" s="59">
        <f>4959/10</f>
        <v>495.9</v>
      </c>
      <c r="J16" s="156"/>
      <c r="K16" s="156"/>
      <c r="L16" s="156"/>
      <c r="M16" s="156"/>
      <c r="N16" s="155"/>
      <c r="O16" s="24" t="s">
        <v>33</v>
      </c>
      <c r="P16" s="1"/>
      <c r="Q16" s="2"/>
      <c r="R16" s="2"/>
      <c r="S16" s="2"/>
      <c r="T16" s="34"/>
      <c r="U16" s="34"/>
      <c r="V16" s="35"/>
      <c r="W16" s="35"/>
      <c r="X16" s="124"/>
      <c r="Y16" s="2"/>
      <c r="Z16" s="19"/>
      <c r="AA16" s="2"/>
    </row>
    <row r="17" spans="1:28" x14ac:dyDescent="0.35">
      <c r="A17" s="2" t="s">
        <v>191</v>
      </c>
      <c r="B17" s="19">
        <f>226-B73-B77</f>
        <v>214.547</v>
      </c>
      <c r="C17" s="19">
        <f>243-C73-C77</f>
        <v>240.44799999999998</v>
      </c>
      <c r="D17" s="19">
        <f>232-D73-D77</f>
        <v>221.52799999999999</v>
      </c>
      <c r="E17" s="59">
        <f>278-E73-E77</f>
        <v>276.93799999999999</v>
      </c>
      <c r="F17" s="59">
        <v>288.8</v>
      </c>
      <c r="G17" s="59">
        <v>290</v>
      </c>
      <c r="H17" s="179">
        <f>354.6-H73-H77</f>
        <v>340.6</v>
      </c>
      <c r="I17" s="179">
        <f>(4246/10)-I73-I77</f>
        <v>387.8</v>
      </c>
      <c r="J17" s="212"/>
      <c r="K17" s="156"/>
      <c r="L17" s="156"/>
      <c r="M17" s="156"/>
      <c r="N17" s="155"/>
      <c r="O17" s="25" t="s">
        <v>34</v>
      </c>
      <c r="P17" s="2"/>
      <c r="Q17" s="2"/>
      <c r="R17" s="2"/>
      <c r="S17" s="2"/>
      <c r="T17" s="34"/>
      <c r="U17" s="34"/>
      <c r="V17" s="35"/>
      <c r="W17" s="35"/>
      <c r="X17" s="124"/>
      <c r="Y17" s="2"/>
      <c r="Z17" s="19"/>
      <c r="AA17" s="2"/>
    </row>
    <row r="18" spans="1:28" x14ac:dyDescent="0.35">
      <c r="A18" s="49" t="s">
        <v>210</v>
      </c>
      <c r="B18" s="20">
        <f t="shared" ref="B18:F18" si="9">B6-B11</f>
        <v>782.45300000000043</v>
      </c>
      <c r="C18" s="20">
        <f t="shared" si="9"/>
        <v>568.55199999999968</v>
      </c>
      <c r="D18" s="20">
        <f t="shared" si="9"/>
        <v>463.47199999999975</v>
      </c>
      <c r="E18" s="20">
        <f t="shared" si="9"/>
        <v>497.0619999999999</v>
      </c>
      <c r="F18" s="20">
        <f t="shared" si="9"/>
        <v>528.99999999999909</v>
      </c>
      <c r="G18" s="20">
        <f t="shared" ref="G18:I18" si="10">G6-G11</f>
        <v>663.90000000000055</v>
      </c>
      <c r="H18" s="227">
        <f t="shared" si="10"/>
        <v>951.69999999999891</v>
      </c>
      <c r="I18" s="227">
        <f>I6-I11</f>
        <v>1222</v>
      </c>
      <c r="J18" s="156"/>
      <c r="K18" s="156"/>
      <c r="L18" s="156"/>
      <c r="M18" s="160"/>
      <c r="N18" s="155"/>
      <c r="O18" s="25" t="s">
        <v>35</v>
      </c>
      <c r="P18" s="2"/>
      <c r="Q18" s="2"/>
      <c r="R18" s="2"/>
      <c r="S18" s="2"/>
      <c r="T18" s="34"/>
      <c r="U18" s="34"/>
      <c r="V18" s="35"/>
      <c r="W18" s="35"/>
      <c r="X18" s="124"/>
      <c r="Y18" s="2"/>
      <c r="Z18" s="19"/>
      <c r="AA18" s="2"/>
    </row>
    <row r="19" spans="1:28" x14ac:dyDescent="0.35">
      <c r="A19" s="60" t="s">
        <v>8</v>
      </c>
      <c r="B19" s="28"/>
      <c r="C19" s="28">
        <f>(+C18/B18-1)*-1</f>
        <v>0.27337233035083341</v>
      </c>
      <c r="D19" s="28">
        <f t="shared" ref="D19" si="11">+D18/C18-1</f>
        <v>-0.18482038582222904</v>
      </c>
      <c r="E19" s="28">
        <f>+E18/D18-1</f>
        <v>7.2474712603997959E-2</v>
      </c>
      <c r="F19" s="28">
        <f>+F18/E18-1</f>
        <v>6.4253553882612557E-2</v>
      </c>
      <c r="G19" s="28">
        <f>G18/F18-1</f>
        <v>0.25500945179584433</v>
      </c>
      <c r="H19" s="28">
        <f>H18/G18-1</f>
        <v>0.43349902093688519</v>
      </c>
      <c r="I19" s="28">
        <f>I18/H18-1</f>
        <v>0.28401807292214087</v>
      </c>
      <c r="J19" s="208"/>
      <c r="K19" s="208"/>
      <c r="L19" s="156"/>
      <c r="M19" s="156"/>
      <c r="N19" s="155"/>
      <c r="O19" s="25" t="s">
        <v>180</v>
      </c>
      <c r="P19" s="2"/>
      <c r="Q19" s="2"/>
      <c r="R19" s="2"/>
      <c r="S19" s="2"/>
      <c r="T19" s="34">
        <v>0</v>
      </c>
      <c r="U19" s="2">
        <v>41</v>
      </c>
      <c r="V19" s="35">
        <v>35.1</v>
      </c>
      <c r="W19" s="35">
        <v>33</v>
      </c>
      <c r="X19" s="124">
        <v>29.4</v>
      </c>
      <c r="Y19" s="35">
        <v>21.2</v>
      </c>
      <c r="Z19" s="19">
        <v>12.7</v>
      </c>
      <c r="AA19" s="229">
        <f>85.7801869315288/10</f>
        <v>8.578018693152881</v>
      </c>
    </row>
    <row r="20" spans="1:28" x14ac:dyDescent="0.35">
      <c r="A20" s="60" t="s">
        <v>9</v>
      </c>
      <c r="B20" s="28"/>
      <c r="C20" s="28"/>
      <c r="D20" s="28"/>
      <c r="E20" s="28">
        <f>(((E18/B18)^(1/3)-1))*-1</f>
        <v>0.14035837924184502</v>
      </c>
      <c r="F20" s="28">
        <f>+((F18/C18)^(1/3)-1)</f>
        <v>-2.3748246797272832E-2</v>
      </c>
      <c r="G20" s="28">
        <f>+((G18/D18)^(1/3)-1)</f>
        <v>0.12726594976519978</v>
      </c>
      <c r="H20" s="28">
        <f>+((H18/E18)^(1/3)-1)</f>
        <v>0.24173761039985742</v>
      </c>
      <c r="I20" s="207">
        <f>+((I18/F18)^(1/3)-1)</f>
        <v>0.32192001418616467</v>
      </c>
      <c r="J20" s="208"/>
      <c r="K20" s="208"/>
      <c r="L20" s="156"/>
      <c r="M20" s="156"/>
      <c r="N20" s="155"/>
      <c r="O20" s="25" t="s">
        <v>36</v>
      </c>
      <c r="P20" s="19">
        <v>12.811</v>
      </c>
      <c r="Q20" s="19">
        <v>70.573999999999998</v>
      </c>
      <c r="R20" s="19">
        <v>76.641000000000005</v>
      </c>
      <c r="S20" s="19">
        <v>115.13</v>
      </c>
      <c r="T20" s="2">
        <v>35</v>
      </c>
      <c r="U20" s="2">
        <v>38</v>
      </c>
      <c r="V20" s="2">
        <v>25</v>
      </c>
      <c r="W20" s="54">
        <v>26</v>
      </c>
      <c r="X20" s="114">
        <v>32.1</v>
      </c>
      <c r="Y20" s="35">
        <v>36.299999999999997</v>
      </c>
      <c r="Z20" s="175">
        <v>38.6</v>
      </c>
      <c r="AA20" s="35">
        <f>382/10</f>
        <v>38.200000000000003</v>
      </c>
    </row>
    <row r="21" spans="1:28" x14ac:dyDescent="0.35">
      <c r="A21" s="49" t="s">
        <v>14</v>
      </c>
      <c r="B21" s="136">
        <f>B18/B6</f>
        <v>0.1489819116527038</v>
      </c>
      <c r="C21" s="136">
        <f t="shared" ref="C21:F21" si="12">C18/C6</f>
        <v>0.11874519632414363</v>
      </c>
      <c r="D21" s="136">
        <f t="shared" si="12"/>
        <v>9.6315876974231038E-2</v>
      </c>
      <c r="E21" s="136">
        <f t="shared" si="12"/>
        <v>8.7773618223556407E-2</v>
      </c>
      <c r="F21" s="136">
        <f t="shared" si="12"/>
        <v>8.0609523809523673E-2</v>
      </c>
      <c r="G21" s="136">
        <f t="shared" ref="G21:I21" si="13">G18/G6</f>
        <v>9.1688763672522447E-2</v>
      </c>
      <c r="H21" s="22">
        <f t="shared" si="13"/>
        <v>0.11264988222482618</v>
      </c>
      <c r="I21" s="22">
        <f t="shared" si="13"/>
        <v>0.11436807427373466</v>
      </c>
      <c r="J21" s="170"/>
      <c r="K21" s="170"/>
      <c r="L21" s="170"/>
      <c r="M21" s="160"/>
      <c r="N21" s="155"/>
      <c r="O21" s="25" t="s">
        <v>37</v>
      </c>
      <c r="P21" s="19">
        <v>86.31</v>
      </c>
      <c r="Q21" s="19">
        <v>41.518999999999998</v>
      </c>
      <c r="R21" s="19">
        <v>41.487000000000002</v>
      </c>
      <c r="S21" s="19">
        <v>87.424000000000007</v>
      </c>
      <c r="T21" s="2">
        <v>26</v>
      </c>
      <c r="U21" s="2">
        <v>67</v>
      </c>
      <c r="V21" s="59">
        <v>118</v>
      </c>
      <c r="W21" s="54">
        <v>215</v>
      </c>
      <c r="X21" s="114">
        <v>298.5</v>
      </c>
      <c r="Y21" s="35">
        <v>376.9</v>
      </c>
      <c r="Z21" s="19">
        <v>391.2</v>
      </c>
      <c r="AA21" s="54">
        <f>4722.967604/10</f>
        <v>472.29676040000004</v>
      </c>
    </row>
    <row r="22" spans="1:28" x14ac:dyDescent="0.35">
      <c r="A22" s="2" t="s">
        <v>15</v>
      </c>
      <c r="B22" s="19">
        <v>77</v>
      </c>
      <c r="C22" s="19">
        <v>94</v>
      </c>
      <c r="D22" s="19">
        <v>103</v>
      </c>
      <c r="E22" s="59">
        <v>129</v>
      </c>
      <c r="F22" s="59">
        <v>146.19999999999999</v>
      </c>
      <c r="G22" s="59">
        <v>150.9</v>
      </c>
      <c r="H22" s="19">
        <v>205.6</v>
      </c>
      <c r="I22" s="19">
        <f>1792/10</f>
        <v>179.2</v>
      </c>
      <c r="J22" s="143"/>
      <c r="K22" s="156"/>
      <c r="L22" s="156"/>
      <c r="M22" s="156"/>
      <c r="O22" s="26" t="s">
        <v>38</v>
      </c>
      <c r="P22" s="20">
        <f>SUM(P18:P21)</f>
        <v>99.121000000000009</v>
      </c>
      <c r="Q22" s="20">
        <f>SUM(Q18:Q21)</f>
        <v>112.09299999999999</v>
      </c>
      <c r="R22" s="20">
        <f t="shared" ref="R22:S22" si="14">SUM(R18:R21)</f>
        <v>118.12800000000001</v>
      </c>
      <c r="S22" s="20">
        <f t="shared" si="14"/>
        <v>202.554</v>
      </c>
      <c r="T22" s="20">
        <f>SUM(T19:T21)</f>
        <v>61</v>
      </c>
      <c r="U22" s="20">
        <f>SUM(U19:U21)</f>
        <v>146</v>
      </c>
      <c r="V22" s="20">
        <f>V19+V20+V21</f>
        <v>178.1</v>
      </c>
      <c r="W22" s="20">
        <f>SUM(W18:W21)</f>
        <v>274</v>
      </c>
      <c r="X22" s="122">
        <f>SUM(X18:X21)</f>
        <v>360</v>
      </c>
      <c r="Y22" s="122">
        <f>SUM(Y18:Y21)</f>
        <v>434.4</v>
      </c>
      <c r="Z22" s="122">
        <f>SUM(Z18:Z21)</f>
        <v>442.5</v>
      </c>
      <c r="AA22" s="122">
        <f>SUM(AA18:AA21)</f>
        <v>519.07477909315298</v>
      </c>
    </row>
    <row r="23" spans="1:28" x14ac:dyDescent="0.35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5">
        <v>4.2</v>
      </c>
      <c r="G23" s="2">
        <v>3.9</v>
      </c>
      <c r="H23" s="19">
        <v>3.9</v>
      </c>
      <c r="I23" s="19">
        <f>52/10</f>
        <v>5.2</v>
      </c>
      <c r="J23" s="143"/>
      <c r="K23" s="156"/>
      <c r="L23" s="156"/>
      <c r="M23" s="156"/>
      <c r="O23" s="24" t="s">
        <v>39</v>
      </c>
      <c r="P23" s="1"/>
      <c r="Q23" s="2"/>
      <c r="R23" s="2"/>
      <c r="S23" s="2"/>
      <c r="T23" s="34"/>
      <c r="U23" s="34"/>
      <c r="V23" s="35"/>
      <c r="W23" s="35"/>
      <c r="X23" s="124"/>
      <c r="Y23" s="2"/>
      <c r="Z23" s="19"/>
      <c r="AA23" s="2"/>
    </row>
    <row r="24" spans="1:28" x14ac:dyDescent="0.35">
      <c r="A24" s="49" t="s">
        <v>240</v>
      </c>
      <c r="B24" s="19">
        <f>B18-B22-B23+B7</f>
        <v>840.00000000000045</v>
      </c>
      <c r="C24" s="19">
        <f t="shared" ref="C24:I24" si="15">C18-C22-C23+C7</f>
        <v>728.99999999999977</v>
      </c>
      <c r="D24" s="19">
        <f t="shared" si="15"/>
        <v>505.99999999999977</v>
      </c>
      <c r="E24" s="19">
        <f t="shared" si="15"/>
        <v>614.99999999999989</v>
      </c>
      <c r="F24" s="19">
        <f t="shared" si="15"/>
        <v>604.19999999999914</v>
      </c>
      <c r="G24" s="19">
        <f t="shared" si="15"/>
        <v>757.80000000000064</v>
      </c>
      <c r="H24" s="19">
        <f t="shared" si="15"/>
        <v>1029.2999999999988</v>
      </c>
      <c r="I24" s="19">
        <f t="shared" si="15"/>
        <v>1307.0999999999999</v>
      </c>
      <c r="J24" s="143"/>
      <c r="K24" s="156"/>
      <c r="L24" s="156"/>
      <c r="M24" s="156"/>
      <c r="O24" s="24"/>
      <c r="P24" s="1"/>
      <c r="Q24" s="2"/>
      <c r="R24" s="2"/>
      <c r="S24" s="2"/>
      <c r="T24" s="34"/>
      <c r="U24" s="34"/>
      <c r="V24" s="35"/>
      <c r="W24" s="35"/>
      <c r="X24" s="124"/>
      <c r="Y24" s="2"/>
      <c r="Z24" s="19"/>
      <c r="AA24" s="2"/>
    </row>
    <row r="25" spans="1:28" x14ac:dyDescent="0.35">
      <c r="A25" s="2" t="s">
        <v>241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f>1521/10</f>
        <v>152.1</v>
      </c>
      <c r="J25" s="143"/>
      <c r="K25" s="156"/>
      <c r="L25" s="156"/>
      <c r="M25" s="156"/>
      <c r="O25" s="24"/>
      <c r="P25" s="1"/>
      <c r="Q25" s="2"/>
      <c r="R25" s="2"/>
      <c r="S25" s="2"/>
      <c r="T25" s="34"/>
      <c r="U25" s="34"/>
      <c r="V25" s="35"/>
      <c r="W25" s="35"/>
      <c r="X25" s="124"/>
      <c r="Y25" s="2"/>
      <c r="Z25" s="19"/>
      <c r="AA25" s="2"/>
    </row>
    <row r="26" spans="1:28" x14ac:dyDescent="0.35">
      <c r="A26" s="49" t="s">
        <v>17</v>
      </c>
      <c r="B26" s="137">
        <f t="shared" ref="B26:H26" si="16">B18-B22-B23+B7+B25</f>
        <v>840.00000000000045</v>
      </c>
      <c r="C26" s="137">
        <f t="shared" si="16"/>
        <v>728.99999999999977</v>
      </c>
      <c r="D26" s="137">
        <f t="shared" si="16"/>
        <v>505.99999999999977</v>
      </c>
      <c r="E26" s="137">
        <f t="shared" si="16"/>
        <v>614.99999999999989</v>
      </c>
      <c r="F26" s="137">
        <f t="shared" si="16"/>
        <v>604.19999999999914</v>
      </c>
      <c r="G26" s="137">
        <f t="shared" si="16"/>
        <v>757.80000000000064</v>
      </c>
      <c r="H26" s="137">
        <f t="shared" si="16"/>
        <v>1029.2999999999988</v>
      </c>
      <c r="I26" s="137">
        <f>I18-I22-I23+I7+I25</f>
        <v>1459.1999999999998</v>
      </c>
      <c r="J26" s="143"/>
      <c r="K26" s="143"/>
      <c r="L26" s="156"/>
      <c r="M26" s="160"/>
      <c r="N26" s="155"/>
      <c r="O26" s="25" t="s">
        <v>40</v>
      </c>
      <c r="P26" s="2"/>
      <c r="Q26" s="2"/>
      <c r="R26" s="2"/>
      <c r="S26" s="2"/>
      <c r="T26" s="34"/>
      <c r="U26" s="34"/>
      <c r="V26" s="35"/>
      <c r="W26" s="2"/>
      <c r="X26" s="125"/>
      <c r="Y26" s="2"/>
      <c r="Z26" s="19"/>
      <c r="AA26" s="2"/>
    </row>
    <row r="27" spans="1:28" x14ac:dyDescent="0.35">
      <c r="A27" t="s">
        <v>193</v>
      </c>
      <c r="B27" s="19">
        <v>10</v>
      </c>
      <c r="C27" s="19">
        <v>17</v>
      </c>
      <c r="D27" s="19">
        <v>0</v>
      </c>
      <c r="E27" s="2"/>
      <c r="F27" s="59"/>
      <c r="G27" s="59"/>
      <c r="H27" s="59"/>
      <c r="I27" s="59"/>
      <c r="J27" s="156"/>
      <c r="K27" s="156"/>
      <c r="L27" s="156"/>
      <c r="M27" s="156"/>
      <c r="O27" s="25" t="s">
        <v>35</v>
      </c>
      <c r="P27" s="2"/>
      <c r="Q27" s="2"/>
      <c r="R27" s="2"/>
      <c r="S27" s="2"/>
      <c r="T27" s="34"/>
      <c r="U27" s="34"/>
      <c r="V27" s="35"/>
      <c r="W27" s="35" t="s">
        <v>183</v>
      </c>
      <c r="X27" s="124" t="s">
        <v>184</v>
      </c>
      <c r="Y27" s="2"/>
      <c r="Z27" s="19"/>
      <c r="AA27" s="2"/>
    </row>
    <row r="28" spans="1:28" x14ac:dyDescent="0.35">
      <c r="A28" s="1" t="s">
        <v>29</v>
      </c>
      <c r="B28" s="18">
        <f t="shared" ref="B28:D28" si="17">SUM(B29:B32)</f>
        <v>245</v>
      </c>
      <c r="C28" s="18">
        <f t="shared" si="17"/>
        <v>169</v>
      </c>
      <c r="D28" s="18">
        <f t="shared" si="17"/>
        <v>110</v>
      </c>
      <c r="E28" s="89">
        <f>SUM(E29:E32)</f>
        <v>112</v>
      </c>
      <c r="F28" s="89">
        <f>SUM(F29:F32)</f>
        <v>121.89999999999999</v>
      </c>
      <c r="G28" s="89">
        <f t="shared" ref="G28:I28" si="18">G29+G32</f>
        <v>164.79999999999998</v>
      </c>
      <c r="H28" s="89">
        <f t="shared" si="18"/>
        <v>206.5</v>
      </c>
      <c r="I28" s="89">
        <f t="shared" si="18"/>
        <v>347.5</v>
      </c>
      <c r="J28" s="169"/>
      <c r="K28" s="169"/>
      <c r="L28" s="156"/>
      <c r="M28" s="156"/>
      <c r="O28" s="25" t="s">
        <v>41</v>
      </c>
      <c r="P28" s="19">
        <v>1168.681</v>
      </c>
      <c r="Q28" s="19">
        <v>1129.114</v>
      </c>
      <c r="R28" s="19">
        <v>1473.941</v>
      </c>
      <c r="S28" s="19">
        <v>2359.0329999999999</v>
      </c>
      <c r="T28" s="19">
        <f>206+546</f>
        <v>752</v>
      </c>
      <c r="U28" s="19">
        <f>177+584</f>
        <v>761</v>
      </c>
      <c r="V28" s="19">
        <f>226+694</f>
        <v>920</v>
      </c>
      <c r="W28" s="54">
        <f>257+644</f>
        <v>901</v>
      </c>
      <c r="X28" s="114">
        <f>292.3+662.8</f>
        <v>955.09999999999991</v>
      </c>
      <c r="Y28" s="35">
        <f>433.3+948.8</f>
        <v>1382.1</v>
      </c>
      <c r="Z28" s="19">
        <v>1401.7</v>
      </c>
      <c r="AA28" s="183">
        <f>14673/10</f>
        <v>1467.3</v>
      </c>
      <c r="AB28" s="44"/>
    </row>
    <row r="29" spans="1:28" x14ac:dyDescent="0.35">
      <c r="A29" s="2" t="s">
        <v>27</v>
      </c>
      <c r="B29" s="19">
        <v>222</v>
      </c>
      <c r="C29" s="19">
        <v>173</v>
      </c>
      <c r="D29" s="19">
        <v>103</v>
      </c>
      <c r="E29" s="2">
        <v>58</v>
      </c>
      <c r="F29" s="59">
        <v>115.6</v>
      </c>
      <c r="G29" s="59">
        <v>164.2</v>
      </c>
      <c r="H29" s="59">
        <v>198.9</v>
      </c>
      <c r="I29" s="59">
        <v>320.8</v>
      </c>
      <c r="J29" s="156"/>
      <c r="K29" s="156"/>
      <c r="L29" s="167"/>
      <c r="M29" s="156"/>
      <c r="O29" s="25" t="s">
        <v>42</v>
      </c>
      <c r="P29" s="19">
        <v>617.91700000000003</v>
      </c>
      <c r="Q29" s="19">
        <v>534.01900000000001</v>
      </c>
      <c r="R29" s="19">
        <v>687.08</v>
      </c>
      <c r="S29" s="19">
        <v>838.90700000000004</v>
      </c>
      <c r="T29" s="66">
        <v>109</v>
      </c>
      <c r="U29" s="2">
        <v>37</v>
      </c>
      <c r="V29" s="66">
        <v>172</v>
      </c>
      <c r="W29" s="54">
        <v>28</v>
      </c>
      <c r="X29" s="114">
        <v>26.6</v>
      </c>
      <c r="Y29" s="35">
        <v>35.799999999999997</v>
      </c>
      <c r="Z29" s="54">
        <v>284.3</v>
      </c>
      <c r="AA29" s="54">
        <f>3179.8/10</f>
        <v>317.98</v>
      </c>
      <c r="AB29" s="44"/>
    </row>
    <row r="30" spans="1:28" x14ac:dyDescent="0.35">
      <c r="A30" t="s">
        <v>195</v>
      </c>
      <c r="B30" s="19"/>
      <c r="C30" s="19">
        <v>0</v>
      </c>
      <c r="D30" s="19">
        <v>-39</v>
      </c>
      <c r="E30" s="2"/>
      <c r="F30" s="59"/>
      <c r="G30" s="59"/>
      <c r="H30" s="59"/>
      <c r="I30" s="59"/>
      <c r="J30" s="156"/>
      <c r="K30" s="156"/>
      <c r="L30" s="156"/>
      <c r="M30" s="156"/>
      <c r="O30" s="25"/>
      <c r="P30" s="19"/>
      <c r="Q30" s="19"/>
      <c r="R30" s="19"/>
      <c r="S30" s="19"/>
      <c r="T30" s="66"/>
      <c r="U30" s="2"/>
      <c r="V30" s="66"/>
      <c r="W30" s="54"/>
      <c r="X30" s="114"/>
      <c r="Y30" s="35"/>
      <c r="Z30" s="19"/>
      <c r="AA30" s="2"/>
      <c r="AB30" s="44"/>
    </row>
    <row r="31" spans="1:28" x14ac:dyDescent="0.35">
      <c r="A31" t="s">
        <v>196</v>
      </c>
      <c r="B31" s="19"/>
      <c r="C31" s="19">
        <v>0</v>
      </c>
      <c r="D31" s="19">
        <v>39</v>
      </c>
      <c r="E31" s="2"/>
      <c r="F31" s="59"/>
      <c r="G31" s="59"/>
      <c r="H31" s="59"/>
      <c r="I31" s="59"/>
      <c r="J31" s="156"/>
      <c r="K31" s="156"/>
      <c r="L31" s="156"/>
      <c r="M31" s="156"/>
      <c r="O31" s="25"/>
      <c r="P31" s="19"/>
      <c r="Q31" s="19"/>
      <c r="R31" s="19"/>
      <c r="S31" s="19"/>
      <c r="T31" s="66"/>
      <c r="U31" s="2"/>
      <c r="V31" s="66"/>
      <c r="W31" s="54"/>
      <c r="X31" s="114"/>
      <c r="Y31" s="35"/>
      <c r="Z31" s="19"/>
      <c r="AA31" s="2"/>
      <c r="AB31" s="44"/>
    </row>
    <row r="32" spans="1:28" x14ac:dyDescent="0.35">
      <c r="A32" s="2" t="s">
        <v>28</v>
      </c>
      <c r="B32" s="19">
        <v>23</v>
      </c>
      <c r="C32" s="19">
        <v>-4</v>
      </c>
      <c r="D32" s="19">
        <v>7</v>
      </c>
      <c r="E32" s="2">
        <v>54</v>
      </c>
      <c r="F32" s="2">
        <v>6.3</v>
      </c>
      <c r="G32" s="54">
        <v>0.6</v>
      </c>
      <c r="H32" s="59">
        <v>7.6</v>
      </c>
      <c r="I32" s="59">
        <f>267/10</f>
        <v>26.7</v>
      </c>
      <c r="J32" s="156"/>
      <c r="K32" s="156"/>
      <c r="L32" s="167"/>
      <c r="M32" s="156"/>
      <c r="O32" s="25" t="s">
        <v>181</v>
      </c>
      <c r="P32" s="19"/>
      <c r="Q32" s="19"/>
      <c r="R32" s="19"/>
      <c r="S32" s="19"/>
      <c r="T32" s="19">
        <v>0</v>
      </c>
      <c r="U32" s="19">
        <v>10</v>
      </c>
      <c r="V32" s="19">
        <v>11</v>
      </c>
      <c r="W32" s="54">
        <v>6</v>
      </c>
      <c r="X32" s="114">
        <v>7.1</v>
      </c>
      <c r="Y32" s="35">
        <v>8.1999999999999993</v>
      </c>
      <c r="Z32" s="19">
        <v>8.4</v>
      </c>
      <c r="AA32" s="54">
        <f>104.470021068471/10</f>
        <v>10.4470021068471</v>
      </c>
      <c r="AB32" s="44"/>
    </row>
    <row r="33" spans="1:40" x14ac:dyDescent="0.35">
      <c r="A33" s="60" t="s">
        <v>18</v>
      </c>
      <c r="B33" s="55"/>
      <c r="C33" s="55">
        <f t="shared" ref="C33:D33" si="19">C28/C26</f>
        <v>0.23182441700960227</v>
      </c>
      <c r="D33" s="55">
        <f t="shared" si="19"/>
        <v>0.21739130434782619</v>
      </c>
      <c r="E33" s="55">
        <f t="shared" ref="E33:I33" si="20">E28/E26</f>
        <v>0.18211382113821142</v>
      </c>
      <c r="F33" s="55">
        <f t="shared" si="20"/>
        <v>0.20175438596491255</v>
      </c>
      <c r="G33" s="55">
        <f t="shared" si="20"/>
        <v>0.217471628397994</v>
      </c>
      <c r="H33" s="55">
        <f t="shared" si="20"/>
        <v>0.20062178179345208</v>
      </c>
      <c r="I33" s="55">
        <f t="shared" si="20"/>
        <v>0.23814418859649125</v>
      </c>
      <c r="J33" s="171"/>
      <c r="K33" s="171"/>
      <c r="L33" s="171"/>
      <c r="M33" s="158"/>
      <c r="O33" s="25" t="s">
        <v>43</v>
      </c>
      <c r="P33" s="19">
        <v>39.911999999999999</v>
      </c>
      <c r="Q33" s="19">
        <v>134.035</v>
      </c>
      <c r="R33" s="19">
        <v>191.47200000000001</v>
      </c>
      <c r="S33" s="19">
        <v>239.31299999999999</v>
      </c>
      <c r="T33" s="59">
        <v>145</v>
      </c>
      <c r="U33" s="59">
        <v>120</v>
      </c>
      <c r="V33" s="59">
        <v>130</v>
      </c>
      <c r="W33" s="59">
        <v>142</v>
      </c>
      <c r="X33" s="139">
        <v>216.9</v>
      </c>
      <c r="Y33" s="114">
        <v>257.5</v>
      </c>
      <c r="Z33" s="54">
        <v>122.5</v>
      </c>
      <c r="AA33" s="59">
        <f>863/10</f>
        <v>86.3</v>
      </c>
      <c r="AB33" s="44"/>
    </row>
    <row r="34" spans="1:40" x14ac:dyDescent="0.35">
      <c r="A34" s="49" t="s">
        <v>19</v>
      </c>
      <c r="B34" s="20">
        <f t="shared" ref="B34:D34" si="21">B26-B27-B28</f>
        <v>585.00000000000045</v>
      </c>
      <c r="C34" s="20">
        <f t="shared" si="21"/>
        <v>542.99999999999977</v>
      </c>
      <c r="D34" s="20">
        <f t="shared" si="21"/>
        <v>395.99999999999977</v>
      </c>
      <c r="E34" s="20">
        <f t="shared" ref="E34:I34" si="22">E26-E27-E28</f>
        <v>502.99999999999989</v>
      </c>
      <c r="F34" s="20">
        <f t="shared" si="22"/>
        <v>482.29999999999916</v>
      </c>
      <c r="G34" s="20">
        <f t="shared" si="22"/>
        <v>593.00000000000068</v>
      </c>
      <c r="H34" s="20">
        <f t="shared" si="22"/>
        <v>822.79999999999882</v>
      </c>
      <c r="I34" s="20">
        <f t="shared" si="22"/>
        <v>1111.6999999999998</v>
      </c>
      <c r="J34" s="169"/>
      <c r="K34" s="169"/>
      <c r="L34" s="156"/>
      <c r="M34" s="160"/>
      <c r="N34" s="155"/>
      <c r="O34" s="25" t="s">
        <v>44</v>
      </c>
      <c r="P34" s="19">
        <v>73.281000000000006</v>
      </c>
      <c r="Q34" s="19">
        <v>12.839</v>
      </c>
      <c r="R34" s="19">
        <v>13.836</v>
      </c>
      <c r="S34" s="19">
        <v>22.213999999999999</v>
      </c>
      <c r="T34" s="2">
        <v>9</v>
      </c>
      <c r="U34" s="2">
        <v>7</v>
      </c>
      <c r="V34" s="2">
        <v>10</v>
      </c>
      <c r="W34" s="54">
        <v>9</v>
      </c>
      <c r="X34" s="114">
        <v>8.5</v>
      </c>
      <c r="Y34" s="35">
        <v>19.8</v>
      </c>
      <c r="Z34" s="19">
        <v>17.600000000000001</v>
      </c>
      <c r="AA34" s="59">
        <f>408/10</f>
        <v>40.799999999999997</v>
      </c>
      <c r="AB34" s="44"/>
    </row>
    <row r="35" spans="1:40" x14ac:dyDescent="0.35">
      <c r="A35" s="49" t="s">
        <v>20</v>
      </c>
      <c r="B35" s="22">
        <f t="shared" ref="B35:D35" si="23">B34/B6</f>
        <v>0.11138613861386147</v>
      </c>
      <c r="C35" s="22">
        <f t="shared" si="23"/>
        <v>0.1134085213032581</v>
      </c>
      <c r="D35" s="22">
        <f t="shared" si="23"/>
        <v>8.2294264339152073E-2</v>
      </c>
      <c r="E35" s="22">
        <f t="shared" ref="E35:I35" si="24">E34/E6</f>
        <v>8.882217905703689E-2</v>
      </c>
      <c r="F35" s="22">
        <f t="shared" si="24"/>
        <v>7.3493333333333202E-2</v>
      </c>
      <c r="G35" s="22">
        <f t="shared" si="24"/>
        <v>8.1897027952712503E-2</v>
      </c>
      <c r="H35" s="22">
        <f t="shared" si="24"/>
        <v>9.7392374797296372E-2</v>
      </c>
      <c r="I35" s="22">
        <f t="shared" si="24"/>
        <v>0.10404499850254566</v>
      </c>
      <c r="J35" s="170"/>
      <c r="K35" s="170"/>
      <c r="L35" s="170"/>
      <c r="M35" s="157"/>
      <c r="O35" s="25" t="s">
        <v>45</v>
      </c>
      <c r="P35" s="19"/>
      <c r="Q35" s="19">
        <v>0.24299999999999999</v>
      </c>
      <c r="R35" s="19">
        <v>12.641999999999999</v>
      </c>
      <c r="S35" s="19">
        <v>38.790999999999997</v>
      </c>
      <c r="T35" s="66">
        <v>17</v>
      </c>
      <c r="U35" s="2">
        <v>16</v>
      </c>
      <c r="V35" s="19">
        <v>0</v>
      </c>
      <c r="W35" s="54"/>
      <c r="X35" s="114">
        <v>0</v>
      </c>
      <c r="Y35" s="2"/>
      <c r="Z35" s="19"/>
      <c r="AA35" s="2">
        <f>179/10</f>
        <v>17.899999999999999</v>
      </c>
      <c r="AB35" s="44"/>
    </row>
    <row r="36" spans="1:40" ht="15" thickBot="1" x14ac:dyDescent="0.4">
      <c r="A36" s="2" t="s">
        <v>21</v>
      </c>
      <c r="B36" s="19">
        <v>169</v>
      </c>
      <c r="C36" s="19">
        <f>-49</f>
        <v>-49</v>
      </c>
      <c r="D36" s="19">
        <v>39</v>
      </c>
      <c r="E36" s="59">
        <v>172</v>
      </c>
      <c r="F36" s="59">
        <f>375.2-77.3</f>
        <v>297.89999999999998</v>
      </c>
      <c r="G36" s="59">
        <f>337.7-77.8</f>
        <v>259.89999999999998</v>
      </c>
      <c r="H36" s="59">
        <v>338.7</v>
      </c>
      <c r="I36" s="59">
        <v>342.4</v>
      </c>
      <c r="J36" s="156"/>
      <c r="K36" s="156"/>
      <c r="L36" s="156"/>
      <c r="M36" s="156"/>
      <c r="O36" s="82" t="s">
        <v>46</v>
      </c>
      <c r="P36" s="83">
        <f t="shared" ref="P36:S36" si="25">SUM(P27:P35)</f>
        <v>1899.7909999999999</v>
      </c>
      <c r="Q36" s="83">
        <f t="shared" si="25"/>
        <v>1810.25</v>
      </c>
      <c r="R36" s="83">
        <f t="shared" si="25"/>
        <v>2378.971</v>
      </c>
      <c r="S36" s="83">
        <f t="shared" si="25"/>
        <v>3498.2580000000003</v>
      </c>
      <c r="T36" s="83">
        <f>SUM(T23:T35)</f>
        <v>1032</v>
      </c>
      <c r="U36" s="83">
        <f t="shared" ref="U36" si="26">SUM(U23:U35)</f>
        <v>951</v>
      </c>
      <c r="V36" s="83">
        <f>SUM(V23:V35)</f>
        <v>1243</v>
      </c>
      <c r="W36" s="83">
        <f>SUM(W27:W35)</f>
        <v>1086</v>
      </c>
      <c r="X36" s="126">
        <f>SUM(X27:X35)</f>
        <v>1214.2</v>
      </c>
      <c r="Y36" s="232">
        <f>SUM(Y27:Y35)</f>
        <v>1703.3999999999999</v>
      </c>
      <c r="Z36" s="232">
        <f>SUM(Z27:Z35)</f>
        <v>1834.5</v>
      </c>
      <c r="AA36" s="232">
        <f>SUM(AA27:AA35)</f>
        <v>1940.7270021068471</v>
      </c>
      <c r="AB36" s="44"/>
    </row>
    <row r="37" spans="1:40" ht="15" thickBot="1" x14ac:dyDescent="0.4">
      <c r="A37" s="49" t="s">
        <v>194</v>
      </c>
      <c r="B37" s="20">
        <f>B34+B36</f>
        <v>754.00000000000045</v>
      </c>
      <c r="C37" s="20">
        <f t="shared" ref="C37:I37" si="27">C34+SUM(C36:C36)</f>
        <v>493.99999999999977</v>
      </c>
      <c r="D37" s="20">
        <f t="shared" si="27"/>
        <v>434.99999999999977</v>
      </c>
      <c r="E37" s="20">
        <f t="shared" si="27"/>
        <v>674.99999999999989</v>
      </c>
      <c r="F37" s="20">
        <f t="shared" si="27"/>
        <v>780.19999999999914</v>
      </c>
      <c r="G37" s="20">
        <f t="shared" si="27"/>
        <v>852.90000000000066</v>
      </c>
      <c r="H37" s="227">
        <f t="shared" si="27"/>
        <v>1161.4999999999989</v>
      </c>
      <c r="I37" s="227">
        <f t="shared" si="27"/>
        <v>1454.1</v>
      </c>
      <c r="J37" s="156"/>
      <c r="K37" s="156"/>
      <c r="L37" s="156"/>
      <c r="M37" s="160"/>
      <c r="N37" s="155"/>
      <c r="O37" s="87"/>
      <c r="P37" s="88"/>
      <c r="Q37" s="88"/>
      <c r="R37" s="88"/>
      <c r="S37" s="88"/>
      <c r="T37" s="88"/>
      <c r="U37" s="88"/>
      <c r="V37" s="88"/>
      <c r="W37" s="88"/>
      <c r="X37" s="88"/>
      <c r="Y37" s="52"/>
      <c r="Z37" s="231"/>
      <c r="AA37" s="52"/>
    </row>
    <row r="38" spans="1:40" x14ac:dyDescent="0.35">
      <c r="A38" s="60" t="s">
        <v>8</v>
      </c>
      <c r="B38" s="21"/>
      <c r="C38" s="21">
        <f>C37/B37-1</f>
        <v>-0.34482758620689724</v>
      </c>
      <c r="D38" s="21">
        <f t="shared" ref="D38" si="28">D37/C37-1</f>
        <v>-0.11943319838056687</v>
      </c>
      <c r="E38" s="21">
        <f>E37/D37-1</f>
        <v>0.55172413793103514</v>
      </c>
      <c r="F38" s="21">
        <f>F37/E37-1</f>
        <v>0.1558518518518508</v>
      </c>
      <c r="G38" s="21">
        <f>G37/F37-1</f>
        <v>9.3181235580622301E-2</v>
      </c>
      <c r="H38" s="21">
        <f>H37/G37-1</f>
        <v>0.36182436393480821</v>
      </c>
      <c r="I38" s="21">
        <f>I37/H37-1</f>
        <v>0.25191562634524445</v>
      </c>
      <c r="J38" s="209"/>
      <c r="K38" s="209"/>
      <c r="L38" s="156"/>
      <c r="M38" s="156"/>
      <c r="O38" s="51" t="s">
        <v>62</v>
      </c>
      <c r="P38" s="86"/>
      <c r="Q38" s="52"/>
      <c r="R38" s="52"/>
      <c r="S38" s="52"/>
      <c r="T38" s="52"/>
      <c r="U38" s="52"/>
      <c r="V38" s="52"/>
      <c r="W38" s="52"/>
      <c r="X38" s="127"/>
      <c r="Y38" s="2"/>
      <c r="Z38" s="19"/>
      <c r="AA38" s="2"/>
    </row>
    <row r="39" spans="1:40" x14ac:dyDescent="0.35">
      <c r="A39" s="60" t="s">
        <v>9</v>
      </c>
      <c r="B39" s="28"/>
      <c r="C39" s="28"/>
      <c r="D39" s="28"/>
      <c r="E39" s="28">
        <f>(((E37/B37)^(1/3)-1)*-1)</f>
        <v>3.6220963324037792E-2</v>
      </c>
      <c r="F39" s="28">
        <f>+((F37/C37)^(1/3)-1)</f>
        <v>0.16455409183792113</v>
      </c>
      <c r="G39" s="28">
        <f>+((G37/D37)^(1/3)-1)</f>
        <v>0.25161171411239813</v>
      </c>
      <c r="H39" s="28">
        <f>+((H37/E37)^(1/3)-1)</f>
        <v>0.19831725732944649</v>
      </c>
      <c r="I39" s="28">
        <f>+((I37/F37)^(1/3)-1)</f>
        <v>0.2306355109004381</v>
      </c>
      <c r="J39" s="210"/>
      <c r="K39" s="210"/>
      <c r="L39" s="156"/>
      <c r="M39" s="156"/>
      <c r="O39" s="25" t="s">
        <v>48</v>
      </c>
      <c r="P39" s="19">
        <v>2794.7750000000001</v>
      </c>
      <c r="Q39" s="19">
        <v>3373.2649999999999</v>
      </c>
      <c r="R39" s="19">
        <v>3316.1669999999999</v>
      </c>
      <c r="S39" s="19">
        <v>3212.8989999999999</v>
      </c>
      <c r="T39" s="66">
        <v>591</v>
      </c>
      <c r="U39" s="66">
        <v>604</v>
      </c>
      <c r="V39" s="19">
        <v>715</v>
      </c>
      <c r="W39" s="59">
        <v>1163</v>
      </c>
      <c r="X39" s="139">
        <v>1210.5999999999999</v>
      </c>
      <c r="Y39" s="35">
        <v>1311.7</v>
      </c>
      <c r="Z39" s="19">
        <v>1437.2</v>
      </c>
      <c r="AA39" s="183">
        <f>16302.6/10</f>
        <v>1630.26</v>
      </c>
      <c r="AB39" s="44"/>
    </row>
    <row r="40" spans="1:40" x14ac:dyDescent="0.35">
      <c r="A40" s="1" t="s">
        <v>22</v>
      </c>
      <c r="B40" s="3">
        <v>25.88</v>
      </c>
      <c r="C40" s="3">
        <v>24.02</v>
      </c>
      <c r="D40" s="3">
        <v>17.52</v>
      </c>
      <c r="E40" s="1">
        <v>22.21</v>
      </c>
      <c r="F40" s="1">
        <v>21.32</v>
      </c>
      <c r="G40" s="1">
        <v>26.21</v>
      </c>
      <c r="H40" s="180">
        <v>36.372599709019205</v>
      </c>
      <c r="I40" s="180">
        <v>49.143679018615273</v>
      </c>
      <c r="J40" s="211"/>
      <c r="K40" s="211"/>
      <c r="L40" s="172"/>
      <c r="M40" s="159"/>
      <c r="N40" s="155"/>
      <c r="O40" s="25" t="s">
        <v>49</v>
      </c>
      <c r="P40" s="19">
        <v>69.36</v>
      </c>
      <c r="Q40" s="19">
        <v>18.068999999999999</v>
      </c>
      <c r="R40" s="19">
        <v>70.930999999999997</v>
      </c>
      <c r="S40" s="19">
        <v>51.779000000000003</v>
      </c>
      <c r="T40" s="2">
        <v>69</v>
      </c>
      <c r="U40" s="66">
        <v>132</v>
      </c>
      <c r="V40" s="19">
        <v>339</v>
      </c>
      <c r="W40" s="2">
        <v>51</v>
      </c>
      <c r="X40" s="139">
        <v>128</v>
      </c>
      <c r="Y40" s="35">
        <v>127.4</v>
      </c>
      <c r="Z40" s="19">
        <v>36.6</v>
      </c>
      <c r="AA40" s="183">
        <f>681.5735429/10</f>
        <v>68.157354290000001</v>
      </c>
      <c r="AB40" s="44"/>
    </row>
    <row r="41" spans="1:40" x14ac:dyDescent="0.35">
      <c r="A41" s="32" t="s">
        <v>8</v>
      </c>
      <c r="B41" s="28"/>
      <c r="C41" s="28">
        <f>+C40/B40-1</f>
        <v>-7.1870170015455925E-2</v>
      </c>
      <c r="D41" s="28">
        <f t="shared" ref="D41" si="29">+D40/C40-1</f>
        <v>-0.27060782681099083</v>
      </c>
      <c r="E41" s="28">
        <f>+E40/D40-1</f>
        <v>0.26769406392694073</v>
      </c>
      <c r="F41" s="28">
        <f>+F40/E40-1</f>
        <v>-4.0072039621791955E-2</v>
      </c>
      <c r="G41" s="28">
        <f>G40/F40-1</f>
        <v>0.22936210131332091</v>
      </c>
      <c r="H41" s="21">
        <f>H40/G40-1</f>
        <v>0.38773749366727217</v>
      </c>
      <c r="I41" s="21">
        <f>I40/H40-1</f>
        <v>0.35111813320369456</v>
      </c>
      <c r="J41" s="209"/>
      <c r="K41" s="209"/>
      <c r="L41" s="156"/>
      <c r="M41" s="156"/>
      <c r="O41" s="25" t="s">
        <v>173</v>
      </c>
      <c r="P41" s="19"/>
      <c r="Q41" s="19"/>
      <c r="R41" s="19"/>
      <c r="S41" s="19"/>
      <c r="T41" s="19"/>
      <c r="U41" s="66">
        <v>140</v>
      </c>
      <c r="V41" s="19">
        <v>131</v>
      </c>
      <c r="W41" s="59">
        <v>122</v>
      </c>
      <c r="X41" s="139">
        <v>117.9</v>
      </c>
      <c r="Y41" s="35">
        <v>108.8</v>
      </c>
      <c r="Z41" s="19">
        <v>99.7</v>
      </c>
      <c r="AA41" s="183">
        <f>976.58975/10</f>
        <v>97.658974999999998</v>
      </c>
      <c r="AB41" s="44"/>
    </row>
    <row r="42" spans="1:40" x14ac:dyDescent="0.35">
      <c r="A42" s="32" t="s">
        <v>9</v>
      </c>
      <c r="B42" s="28"/>
      <c r="C42" s="28"/>
      <c r="D42" s="28"/>
      <c r="E42" s="28">
        <f>+((E40/B40)^(1/3)-1)</f>
        <v>-4.9698469202234641E-2</v>
      </c>
      <c r="F42" s="28">
        <f>+((F40/C40)^(1/3)-1)</f>
        <v>-3.8967519995541378E-2</v>
      </c>
      <c r="G42" s="28">
        <f>+((G40/D40)^(1/3)-1)</f>
        <v>0.14369697659948533</v>
      </c>
      <c r="H42" s="28">
        <f>+((H40/E40)^(1/3)-1)</f>
        <v>0.17871441530468091</v>
      </c>
      <c r="I42" s="207">
        <f>+((I40/F40)^(1/3)-1)</f>
        <v>0.32097162367306109</v>
      </c>
      <c r="J42" s="210"/>
      <c r="K42" s="210"/>
      <c r="L42" s="173"/>
      <c r="M42" s="156"/>
      <c r="O42" s="25" t="s">
        <v>175</v>
      </c>
      <c r="P42" s="19">
        <v>96.061000000000007</v>
      </c>
      <c r="Q42" s="19">
        <v>111.235</v>
      </c>
      <c r="R42" s="19">
        <v>109.246</v>
      </c>
      <c r="S42" s="19">
        <v>127.5</v>
      </c>
      <c r="T42" s="2">
        <v>54</v>
      </c>
      <c r="U42" s="2">
        <v>51</v>
      </c>
      <c r="V42" s="19">
        <v>56</v>
      </c>
      <c r="W42" s="59" t="s">
        <v>185</v>
      </c>
      <c r="X42" s="139" t="s">
        <v>186</v>
      </c>
      <c r="Y42" s="35"/>
      <c r="Z42" s="19">
        <v>0</v>
      </c>
      <c r="AA42" s="184"/>
      <c r="AB42" s="44"/>
    </row>
    <row r="43" spans="1:40" x14ac:dyDescent="0.35">
      <c r="O43" s="25" t="s">
        <v>176</v>
      </c>
      <c r="P43" s="19">
        <v>37.162999999999997</v>
      </c>
      <c r="Q43" s="19">
        <v>36.83</v>
      </c>
      <c r="R43" s="19">
        <v>37.058999999999997</v>
      </c>
      <c r="S43" s="19">
        <v>32.225000000000001</v>
      </c>
      <c r="T43" s="2">
        <v>17</v>
      </c>
      <c r="U43" s="2">
        <v>16</v>
      </c>
      <c r="V43" s="19">
        <v>12.5</v>
      </c>
      <c r="W43" s="54">
        <v>17</v>
      </c>
      <c r="X43" s="124">
        <v>15.9</v>
      </c>
      <c r="Y43" s="35">
        <f>11.3+3.2</f>
        <v>14.5</v>
      </c>
      <c r="Z43" s="19">
        <v>9.6999999999999993</v>
      </c>
      <c r="AA43" s="183">
        <f>69/10</f>
        <v>6.9</v>
      </c>
      <c r="AB43" s="44"/>
    </row>
    <row r="44" spans="1:40" x14ac:dyDescent="0.35">
      <c r="O44" s="25" t="s">
        <v>177</v>
      </c>
      <c r="P44" s="19"/>
      <c r="Q44" s="19"/>
      <c r="R44" s="19"/>
      <c r="S44" s="19"/>
      <c r="T44" s="19"/>
      <c r="U44" s="19"/>
      <c r="V44" s="19"/>
      <c r="W44" s="2"/>
      <c r="X44" s="125"/>
      <c r="Y44" s="35"/>
      <c r="Z44" s="19"/>
      <c r="AA44" s="2"/>
      <c r="AB44" s="44"/>
      <c r="AN44">
        <f>4788-549</f>
        <v>4239</v>
      </c>
    </row>
    <row r="45" spans="1:40" x14ac:dyDescent="0.35">
      <c r="A45" s="219" t="s">
        <v>88</v>
      </c>
      <c r="B45" s="220"/>
      <c r="C45" s="220"/>
      <c r="D45" s="220"/>
      <c r="E45" s="220"/>
      <c r="F45" s="220"/>
      <c r="G45" s="220"/>
      <c r="H45" s="220"/>
      <c r="I45" s="220"/>
      <c r="O45" s="25" t="s">
        <v>50</v>
      </c>
      <c r="P45" s="19"/>
      <c r="Q45" s="19">
        <v>3.5000000000000003E-2</v>
      </c>
      <c r="R45" s="19">
        <v>2.5000000000000001E-2</v>
      </c>
      <c r="S45" s="19">
        <v>40.607999999999997</v>
      </c>
      <c r="T45" s="19">
        <v>1260</v>
      </c>
      <c r="U45" s="19">
        <v>1187</v>
      </c>
      <c r="V45" s="19">
        <v>1281</v>
      </c>
      <c r="W45" s="59">
        <v>1456</v>
      </c>
      <c r="X45" s="139">
        <v>2027.4</v>
      </c>
      <c r="Y45" s="35">
        <v>2507.8000000000002</v>
      </c>
      <c r="Z45" s="54">
        <v>3281.4</v>
      </c>
      <c r="AA45" s="183">
        <f>37725.8446392972/10</f>
        <v>3772.5844639297197</v>
      </c>
      <c r="AB45" s="44"/>
    </row>
    <row r="46" spans="1:40" x14ac:dyDescent="0.35">
      <c r="A46" s="1" t="s">
        <v>1</v>
      </c>
      <c r="B46" s="47" t="s">
        <v>5</v>
      </c>
      <c r="C46" s="48" t="s">
        <v>6</v>
      </c>
      <c r="D46" s="48" t="s">
        <v>171</v>
      </c>
      <c r="E46" s="48" t="s">
        <v>172</v>
      </c>
      <c r="F46" s="48" t="s">
        <v>182</v>
      </c>
      <c r="G46" s="48" t="s">
        <v>209</v>
      </c>
      <c r="H46" s="193" t="s">
        <v>213</v>
      </c>
      <c r="I46" s="228" t="s">
        <v>237</v>
      </c>
      <c r="O46" s="25" t="s">
        <v>51</v>
      </c>
      <c r="P46" s="19"/>
      <c r="Q46" s="19">
        <v>38.648000000000003</v>
      </c>
      <c r="R46" s="19">
        <v>85.988</v>
      </c>
      <c r="S46" s="19">
        <v>35.741999999999997</v>
      </c>
      <c r="T46" s="19">
        <v>4</v>
      </c>
      <c r="U46" s="19">
        <v>4.3</v>
      </c>
      <c r="V46" s="19">
        <v>4.5999999999999996</v>
      </c>
      <c r="W46" s="54">
        <v>45</v>
      </c>
      <c r="X46" s="139">
        <v>7.9</v>
      </c>
      <c r="Y46" s="35">
        <v>9.6</v>
      </c>
      <c r="Z46" s="19">
        <v>141.6</v>
      </c>
      <c r="AA46" s="183">
        <f>935/10</f>
        <v>93.5</v>
      </c>
      <c r="AB46" s="44"/>
    </row>
    <row r="47" spans="1:40" x14ac:dyDescent="0.35">
      <c r="A47" s="1" t="s">
        <v>89</v>
      </c>
      <c r="B47" s="19">
        <v>43</v>
      </c>
      <c r="C47" s="19">
        <v>61</v>
      </c>
      <c r="D47" s="19">
        <f>C52</f>
        <v>137</v>
      </c>
      <c r="E47" s="54">
        <f>D52</f>
        <v>37</v>
      </c>
      <c r="F47" s="54">
        <v>235.8</v>
      </c>
      <c r="G47" s="140">
        <v>128.6</v>
      </c>
      <c r="H47" s="183">
        <f>G52</f>
        <v>123.49999999999997</v>
      </c>
      <c r="I47" s="183">
        <f>H52</f>
        <v>200.20000000000002</v>
      </c>
      <c r="O47" s="25" t="s">
        <v>161</v>
      </c>
      <c r="P47" s="19">
        <v>473.12299999999999</v>
      </c>
      <c r="Q47" s="19"/>
      <c r="R47" s="19"/>
      <c r="S47" s="19"/>
      <c r="T47" s="19">
        <v>9</v>
      </c>
      <c r="U47" s="19">
        <v>9</v>
      </c>
      <c r="V47" s="19">
        <v>8.1999999999999993</v>
      </c>
      <c r="W47" s="54">
        <v>11</v>
      </c>
      <c r="X47" s="114">
        <v>11.8</v>
      </c>
      <c r="Y47" s="35">
        <v>11.2</v>
      </c>
      <c r="Z47" s="19">
        <v>11.7</v>
      </c>
      <c r="AA47" s="183">
        <f>148/10</f>
        <v>14.8</v>
      </c>
      <c r="AB47" s="44"/>
    </row>
    <row r="48" spans="1:40" x14ac:dyDescent="0.35">
      <c r="A48" s="2" t="s">
        <v>90</v>
      </c>
      <c r="B48" s="19">
        <v>363</v>
      </c>
      <c r="C48" s="19">
        <v>517</v>
      </c>
      <c r="D48" s="19">
        <v>382</v>
      </c>
      <c r="E48" s="54">
        <v>71</v>
      </c>
      <c r="F48" s="54">
        <v>568.6</v>
      </c>
      <c r="G48" s="140">
        <v>626.9</v>
      </c>
      <c r="H48" s="54">
        <v>495.6</v>
      </c>
      <c r="I48" s="54">
        <f>4024.43857/10</f>
        <v>402.44385699999998</v>
      </c>
      <c r="O48" s="25" t="s">
        <v>178</v>
      </c>
      <c r="P48" s="19">
        <v>24.844999999999999</v>
      </c>
      <c r="Q48" s="19">
        <v>380.60899999999998</v>
      </c>
      <c r="R48" s="19">
        <v>424.26799999999997</v>
      </c>
      <c r="S48" s="19">
        <v>710.62300000000005</v>
      </c>
      <c r="T48" s="19">
        <v>111</v>
      </c>
      <c r="U48" s="19">
        <v>48</v>
      </c>
      <c r="V48" s="19">
        <v>25.2</v>
      </c>
      <c r="W48" s="54">
        <v>10</v>
      </c>
      <c r="X48" s="114">
        <v>1.2</v>
      </c>
      <c r="Y48" s="2"/>
      <c r="Z48" s="19">
        <v>5.2</v>
      </c>
      <c r="AA48" s="183">
        <f>1093/10</f>
        <v>109.3</v>
      </c>
      <c r="AB48" s="44"/>
    </row>
    <row r="49" spans="1:29" x14ac:dyDescent="0.35">
      <c r="A49" s="2" t="s">
        <v>91</v>
      </c>
      <c r="B49" s="19">
        <v>-167</v>
      </c>
      <c r="C49" s="19">
        <v>-66</v>
      </c>
      <c r="D49" s="19">
        <v>-335</v>
      </c>
      <c r="E49" s="54">
        <v>281</v>
      </c>
      <c r="F49" s="54">
        <v>-456.7</v>
      </c>
      <c r="G49" s="141">
        <v>-386</v>
      </c>
      <c r="H49" s="54">
        <v>-121.4</v>
      </c>
      <c r="I49" s="54">
        <f>-1844.34069856831/10</f>
        <v>-184.434069856831</v>
      </c>
      <c r="O49" s="25" t="s">
        <v>179</v>
      </c>
      <c r="P49" s="19"/>
      <c r="Q49" s="19"/>
      <c r="R49" s="19"/>
      <c r="S49" s="19"/>
      <c r="T49" s="19"/>
      <c r="U49" s="19">
        <v>0</v>
      </c>
      <c r="V49" s="19"/>
      <c r="W49" s="54"/>
      <c r="X49" s="114"/>
      <c r="Y49" s="2"/>
      <c r="Z49" s="2">
        <v>0</v>
      </c>
      <c r="AA49" s="183"/>
      <c r="AB49" s="44"/>
    </row>
    <row r="50" spans="1:29" x14ac:dyDescent="0.35">
      <c r="A50" s="2" t="s">
        <v>92</v>
      </c>
      <c r="B50" s="19">
        <v>-178</v>
      </c>
      <c r="C50" s="19">
        <v>-375</v>
      </c>
      <c r="D50" s="19">
        <v>-147</v>
      </c>
      <c r="E50" s="54">
        <v>-153</v>
      </c>
      <c r="F50" s="54">
        <v>-219.1</v>
      </c>
      <c r="G50" s="141">
        <v>-246</v>
      </c>
      <c r="H50" s="54">
        <v>-297.5</v>
      </c>
      <c r="I50" s="54">
        <f>-3631.35658/10</f>
        <v>-363.13565800000003</v>
      </c>
      <c r="O50" s="26" t="s">
        <v>52</v>
      </c>
      <c r="P50" s="20">
        <f t="shared" ref="P50:V50" si="30">SUM(P39:P49)</f>
        <v>3495.3270000000002</v>
      </c>
      <c r="Q50" s="20">
        <f t="shared" si="30"/>
        <v>3958.6909999999998</v>
      </c>
      <c r="R50" s="20">
        <f t="shared" si="30"/>
        <v>4043.6840000000002</v>
      </c>
      <c r="S50" s="20">
        <f t="shared" si="30"/>
        <v>4211.3760000000002</v>
      </c>
      <c r="T50" s="20">
        <f t="shared" si="30"/>
        <v>2115</v>
      </c>
      <c r="U50" s="20">
        <f>SUM(U39:U49)</f>
        <v>2191.3000000000002</v>
      </c>
      <c r="V50" s="20">
        <f t="shared" si="30"/>
        <v>2572.4999999999995</v>
      </c>
      <c r="W50" s="20">
        <f>SUM(W39:W49)</f>
        <v>2875</v>
      </c>
      <c r="X50" s="122">
        <f>SUM(X39:X49)</f>
        <v>3520.7000000000003</v>
      </c>
      <c r="Y50" s="122">
        <f>SUM(Y39:Y49)</f>
        <v>4091</v>
      </c>
      <c r="Z50" s="122">
        <f>SUM(Z39:Z49)</f>
        <v>5023.1000000000004</v>
      </c>
      <c r="AA50" s="122">
        <f>SUM(AA39:AA49)</f>
        <v>5793.1607932197203</v>
      </c>
      <c r="AB50" s="44"/>
    </row>
    <row r="51" spans="1:29" x14ac:dyDescent="0.35">
      <c r="A51" s="1" t="s">
        <v>93</v>
      </c>
      <c r="B51" s="18">
        <f>+B48+B49+B50</f>
        <v>18</v>
      </c>
      <c r="C51" s="18">
        <f t="shared" ref="C51:D51" si="31">+C48+C49+C50</f>
        <v>76</v>
      </c>
      <c r="D51" s="18">
        <f t="shared" si="31"/>
        <v>-100</v>
      </c>
      <c r="E51" s="89">
        <f>+E48+E49+E50</f>
        <v>199</v>
      </c>
      <c r="F51" s="89">
        <f>+F48+F49+F50</f>
        <v>-107.19999999999996</v>
      </c>
      <c r="G51" s="48">
        <f>G50+G49+G48</f>
        <v>-5.1000000000000227</v>
      </c>
      <c r="H51" s="48">
        <f>H50+H49+H48</f>
        <v>76.700000000000045</v>
      </c>
      <c r="I51" s="202">
        <f>I50+I49+I48</f>
        <v>-145.12587085683106</v>
      </c>
      <c r="O51" s="24" t="s">
        <v>53</v>
      </c>
      <c r="P51" s="1"/>
      <c r="Q51" s="2"/>
      <c r="R51" s="2"/>
      <c r="S51" s="2"/>
      <c r="T51" s="34"/>
      <c r="U51" s="34"/>
      <c r="V51" s="35"/>
      <c r="W51" s="35"/>
      <c r="X51" s="124"/>
      <c r="Y51" s="2"/>
      <c r="Z51" s="2"/>
      <c r="AA51" s="2"/>
    </row>
    <row r="52" spans="1:29" x14ac:dyDescent="0.35">
      <c r="A52" s="49" t="s">
        <v>94</v>
      </c>
      <c r="B52" s="20">
        <f t="shared" ref="B52:F52" si="32">+B47+B51</f>
        <v>61</v>
      </c>
      <c r="C52" s="20">
        <f t="shared" si="32"/>
        <v>137</v>
      </c>
      <c r="D52" s="20">
        <f t="shared" si="32"/>
        <v>37</v>
      </c>
      <c r="E52" s="20">
        <f t="shared" si="32"/>
        <v>236</v>
      </c>
      <c r="F52" s="20">
        <f t="shared" si="32"/>
        <v>128.60000000000005</v>
      </c>
      <c r="G52" s="20">
        <f>+G47+G51</f>
        <v>123.49999999999997</v>
      </c>
      <c r="H52" s="20">
        <f>+H47+H51</f>
        <v>200.20000000000002</v>
      </c>
      <c r="I52" s="20">
        <f>+I47+I51</f>
        <v>55.07412914316896</v>
      </c>
      <c r="L52" s="44"/>
      <c r="O52" s="25" t="s">
        <v>54</v>
      </c>
      <c r="P52" s="19">
        <v>1418.1790000000001</v>
      </c>
      <c r="Q52" s="19">
        <v>1238.231</v>
      </c>
      <c r="R52" s="19">
        <v>1135.971</v>
      </c>
      <c r="S52" s="19">
        <v>1442.981</v>
      </c>
      <c r="T52" s="19">
        <v>353</v>
      </c>
      <c r="U52" s="19">
        <v>387</v>
      </c>
      <c r="V52" s="19">
        <v>438</v>
      </c>
      <c r="W52" s="59">
        <v>496</v>
      </c>
      <c r="X52" s="139">
        <v>560.6</v>
      </c>
      <c r="Y52" s="35">
        <v>691.7</v>
      </c>
      <c r="Z52" s="35">
        <v>722.1</v>
      </c>
      <c r="AA52" s="183">
        <f>9092/10</f>
        <v>909.2</v>
      </c>
      <c r="AB52" s="44"/>
    </row>
    <row r="53" spans="1:29" x14ac:dyDescent="0.35">
      <c r="H53" s="56"/>
      <c r="I53" s="56"/>
      <c r="J53" s="56"/>
      <c r="K53" s="56"/>
      <c r="L53" s="56"/>
      <c r="M53" s="56"/>
      <c r="O53" s="25" t="s">
        <v>55</v>
      </c>
      <c r="P53" s="19"/>
      <c r="Q53" s="19"/>
      <c r="R53" s="19"/>
      <c r="S53" s="19"/>
      <c r="T53" s="19"/>
      <c r="U53" s="19"/>
      <c r="V53" s="19"/>
      <c r="W53" s="54"/>
      <c r="X53" s="114"/>
      <c r="Y53" s="2"/>
      <c r="Z53" s="2"/>
      <c r="AA53" s="2"/>
      <c r="AB53" s="44"/>
    </row>
    <row r="54" spans="1:29" x14ac:dyDescent="0.35">
      <c r="A54" s="219" t="s">
        <v>95</v>
      </c>
      <c r="B54" s="220"/>
      <c r="C54" s="220"/>
      <c r="D54" s="220"/>
      <c r="E54" s="220"/>
      <c r="F54" s="220"/>
      <c r="G54" s="220"/>
      <c r="H54" s="220"/>
      <c r="I54" s="220"/>
      <c r="J54" s="194"/>
      <c r="K54" s="194"/>
      <c r="L54" s="194"/>
      <c r="M54" s="194"/>
      <c r="O54" s="25" t="s">
        <v>50</v>
      </c>
      <c r="P54" s="19">
        <v>43.622</v>
      </c>
      <c r="Q54" s="19">
        <v>167.56200000000001</v>
      </c>
      <c r="R54" s="19">
        <v>181.881</v>
      </c>
      <c r="S54" s="19">
        <v>311.99</v>
      </c>
      <c r="T54" s="19">
        <v>1348</v>
      </c>
      <c r="U54" s="19">
        <v>1431</v>
      </c>
      <c r="V54" s="19">
        <v>1325</v>
      </c>
      <c r="W54" s="59">
        <v>1327</v>
      </c>
      <c r="X54" s="139">
        <v>1522.8</v>
      </c>
      <c r="Y54" s="59">
        <v>1810.8</v>
      </c>
      <c r="Z54" s="59">
        <v>1443.3</v>
      </c>
      <c r="AA54" s="59">
        <f>15427/10</f>
        <v>1542.7</v>
      </c>
      <c r="AB54" s="44"/>
    </row>
    <row r="55" spans="1:29" x14ac:dyDescent="0.35">
      <c r="A55" s="51" t="s">
        <v>1</v>
      </c>
      <c r="B55" s="153" t="s">
        <v>5</v>
      </c>
      <c r="C55" s="50" t="s">
        <v>6</v>
      </c>
      <c r="D55" s="50" t="s">
        <v>171</v>
      </c>
      <c r="E55" s="50" t="s">
        <v>172</v>
      </c>
      <c r="F55" s="154" t="s">
        <v>182</v>
      </c>
      <c r="G55" s="50" t="s">
        <v>209</v>
      </c>
      <c r="H55" s="50" t="s">
        <v>213</v>
      </c>
      <c r="I55" s="63" t="s">
        <v>237</v>
      </c>
      <c r="O55" s="25" t="s">
        <v>56</v>
      </c>
      <c r="P55" s="19">
        <v>809.10299999999995</v>
      </c>
      <c r="Q55" s="19">
        <v>811.56100000000004</v>
      </c>
      <c r="R55" s="19">
        <v>1039.3579999999999</v>
      </c>
      <c r="S55" s="19">
        <v>1699.0820000000001</v>
      </c>
      <c r="T55" s="19">
        <v>1040</v>
      </c>
      <c r="U55" s="19">
        <v>881</v>
      </c>
      <c r="V55" s="19">
        <v>1094</v>
      </c>
      <c r="W55" s="59">
        <v>1181</v>
      </c>
      <c r="X55" s="139">
        <v>1194.7</v>
      </c>
      <c r="Y55" s="35">
        <v>1417.5</v>
      </c>
      <c r="Z55" s="35">
        <v>1696.5</v>
      </c>
      <c r="AA55" s="35">
        <f>20646/10</f>
        <v>2064.6</v>
      </c>
      <c r="AB55" s="44"/>
    </row>
    <row r="56" spans="1:29" x14ac:dyDescent="0.35">
      <c r="A56" s="24" t="s">
        <v>96</v>
      </c>
      <c r="B56" s="19">
        <f>B48</f>
        <v>363</v>
      </c>
      <c r="C56" s="19">
        <f>C48</f>
        <v>517</v>
      </c>
      <c r="D56" s="19">
        <f t="shared" ref="D56:I56" si="33">+D48</f>
        <v>382</v>
      </c>
      <c r="E56" s="54">
        <f t="shared" si="33"/>
        <v>71</v>
      </c>
      <c r="F56" s="114">
        <f t="shared" si="33"/>
        <v>568.6</v>
      </c>
      <c r="G56" s="54">
        <f t="shared" si="33"/>
        <v>626.9</v>
      </c>
      <c r="H56" s="54">
        <f t="shared" si="33"/>
        <v>495.6</v>
      </c>
      <c r="I56" s="54">
        <f t="shared" si="33"/>
        <v>402.44385699999998</v>
      </c>
      <c r="O56" s="25" t="s">
        <v>57</v>
      </c>
      <c r="P56" s="19">
        <v>114.087</v>
      </c>
      <c r="Q56" s="19">
        <v>37.756999999999998</v>
      </c>
      <c r="R56" s="19">
        <v>59.036999999999999</v>
      </c>
      <c r="S56" s="19">
        <v>67.146000000000001</v>
      </c>
      <c r="T56" s="54">
        <v>61</v>
      </c>
      <c r="U56" s="19">
        <v>137</v>
      </c>
      <c r="V56" s="19">
        <v>38</v>
      </c>
      <c r="W56" s="59">
        <v>236</v>
      </c>
      <c r="X56" s="139">
        <v>128.6</v>
      </c>
      <c r="Y56" s="150">
        <v>123.5</v>
      </c>
      <c r="Z56" s="35">
        <v>200.1</v>
      </c>
      <c r="AA56" s="35">
        <f>550/10</f>
        <v>55</v>
      </c>
      <c r="AB56" s="44"/>
    </row>
    <row r="57" spans="1:29" x14ac:dyDescent="0.35">
      <c r="A57" s="25" t="s">
        <v>97</v>
      </c>
      <c r="B57" s="19">
        <v>-156</v>
      </c>
      <c r="C57" s="19">
        <f>-183+118</f>
        <v>-65</v>
      </c>
      <c r="D57" s="19">
        <f>-371</f>
        <v>-371</v>
      </c>
      <c r="E57" s="54">
        <f>-277+244</f>
        <v>-33</v>
      </c>
      <c r="F57" s="114">
        <v>-252.1</v>
      </c>
      <c r="G57" s="54">
        <v>-239.9</v>
      </c>
      <c r="H57" s="54">
        <v>-232.5</v>
      </c>
      <c r="I57" s="204">
        <f>-421.5+9.7</f>
        <v>-411.8</v>
      </c>
      <c r="O57" s="25" t="s">
        <v>58</v>
      </c>
      <c r="P57" s="19">
        <v>213.56800000000001</v>
      </c>
      <c r="Q57" s="19">
        <v>67.641999999999996</v>
      </c>
      <c r="R57" s="19">
        <v>66.626000000000005</v>
      </c>
      <c r="S57" s="19">
        <v>41.164999999999999</v>
      </c>
      <c r="T57" s="19">
        <v>77</v>
      </c>
      <c r="U57" s="19">
        <v>147</v>
      </c>
      <c r="V57" s="19">
        <v>289</v>
      </c>
      <c r="W57" s="54">
        <v>130</v>
      </c>
      <c r="X57" s="124">
        <v>99.6</v>
      </c>
      <c r="Y57" s="150">
        <v>65.599999999999994</v>
      </c>
      <c r="Z57" s="150">
        <v>36.4</v>
      </c>
      <c r="AA57" s="35">
        <f>72/10</f>
        <v>7.2</v>
      </c>
      <c r="AB57" s="44"/>
    </row>
    <row r="58" spans="1:29" ht="15" thickBot="1" x14ac:dyDescent="0.4">
      <c r="A58" s="45" t="s">
        <v>98</v>
      </c>
      <c r="B58" s="29">
        <v>9</v>
      </c>
      <c r="C58" s="29">
        <f t="shared" ref="C58" si="34">+C56+C57</f>
        <v>452</v>
      </c>
      <c r="D58" s="29">
        <f t="shared" ref="D58" si="35">+D56+D57</f>
        <v>11</v>
      </c>
      <c r="E58" s="29">
        <f>+E56+E57</f>
        <v>38</v>
      </c>
      <c r="F58" s="115">
        <f>+F56+F57</f>
        <v>316.5</v>
      </c>
      <c r="G58" s="137">
        <f>G56+G57</f>
        <v>387</v>
      </c>
      <c r="H58" s="137">
        <f>H56+H57</f>
        <v>263.10000000000002</v>
      </c>
      <c r="I58" s="137">
        <f>I56+I57</f>
        <v>-9.3561430000000314</v>
      </c>
      <c r="O58" s="25" t="s">
        <v>187</v>
      </c>
      <c r="P58" s="19"/>
      <c r="Q58" s="19"/>
      <c r="R58" s="19"/>
      <c r="S58" s="19"/>
      <c r="T58" s="19">
        <v>53</v>
      </c>
      <c r="U58" s="19">
        <v>51</v>
      </c>
      <c r="V58" s="19">
        <v>50</v>
      </c>
      <c r="W58" s="54"/>
      <c r="X58" s="114"/>
      <c r="Y58" s="35"/>
      <c r="Z58" s="35">
        <v>0</v>
      </c>
      <c r="AA58" s="35">
        <v>0</v>
      </c>
      <c r="AB58" s="44"/>
    </row>
    <row r="59" spans="1:29" ht="15" thickBot="1" x14ac:dyDescent="0.4">
      <c r="O59" s="25" t="s">
        <v>174</v>
      </c>
      <c r="P59" s="19"/>
      <c r="Q59" s="19">
        <v>20.960999999999999</v>
      </c>
      <c r="R59" s="19">
        <v>22.289000000000001</v>
      </c>
      <c r="S59" s="19">
        <v>29.027000000000001</v>
      </c>
      <c r="T59" s="19">
        <v>10</v>
      </c>
      <c r="U59" s="19">
        <v>10</v>
      </c>
      <c r="V59" s="19">
        <v>11</v>
      </c>
      <c r="W59" s="54">
        <v>11</v>
      </c>
      <c r="X59" s="114">
        <v>13.3</v>
      </c>
      <c r="Y59" s="35">
        <v>6.6</v>
      </c>
      <c r="Z59" s="35">
        <v>84.2</v>
      </c>
      <c r="AA59" s="203">
        <f>1084/10</f>
        <v>108.4</v>
      </c>
      <c r="AB59" s="44"/>
    </row>
    <row r="60" spans="1:29" ht="15" thickBot="1" x14ac:dyDescent="0.4">
      <c r="A60" s="64" t="s">
        <v>170</v>
      </c>
      <c r="B60" s="74" t="s">
        <v>5</v>
      </c>
      <c r="C60" s="65" t="s">
        <v>6</v>
      </c>
      <c r="D60" s="65" t="s">
        <v>171</v>
      </c>
      <c r="E60" s="65" t="s">
        <v>172</v>
      </c>
      <c r="F60" s="188" t="s">
        <v>182</v>
      </c>
      <c r="G60" s="189" t="s">
        <v>209</v>
      </c>
      <c r="H60" s="189" t="s">
        <v>213</v>
      </c>
      <c r="I60" s="185" t="str">
        <f>I55</f>
        <v>FY26</v>
      </c>
      <c r="J60" s="56"/>
      <c r="K60" s="56"/>
      <c r="L60" s="56"/>
      <c r="M60" s="56"/>
      <c r="O60" s="25" t="s">
        <v>189</v>
      </c>
      <c r="P60" s="19"/>
      <c r="Q60" s="19"/>
      <c r="R60" s="19"/>
      <c r="S60" s="19"/>
      <c r="T60" s="19">
        <v>40</v>
      </c>
      <c r="U60" s="19">
        <v>60</v>
      </c>
      <c r="V60" s="19">
        <v>81</v>
      </c>
      <c r="W60" s="54">
        <v>90</v>
      </c>
      <c r="X60" s="124">
        <v>76.8</v>
      </c>
      <c r="Y60" s="35">
        <v>110.9</v>
      </c>
      <c r="Z60" s="35">
        <v>105</v>
      </c>
      <c r="AA60" s="35">
        <f>1928/10</f>
        <v>192.8</v>
      </c>
      <c r="AB60" s="44"/>
    </row>
    <row r="61" spans="1:29" x14ac:dyDescent="0.35">
      <c r="A61" s="71" t="s">
        <v>99</v>
      </c>
      <c r="B61" s="91">
        <v>22621424</v>
      </c>
      <c r="C61" s="94">
        <v>22621424</v>
      </c>
      <c r="D61" s="91">
        <v>22621424</v>
      </c>
      <c r="E61" s="98">
        <v>22621424</v>
      </c>
      <c r="F61" s="102">
        <v>22621424</v>
      </c>
      <c r="G61" s="97">
        <v>22621424</v>
      </c>
      <c r="H61" s="97">
        <v>22621424</v>
      </c>
      <c r="I61" s="186">
        <f>H61</f>
        <v>22621424</v>
      </c>
      <c r="J61" s="143"/>
      <c r="K61" s="143"/>
      <c r="L61" s="143"/>
      <c r="M61" s="143"/>
      <c r="O61" s="25" t="s">
        <v>59</v>
      </c>
      <c r="P61" s="19"/>
      <c r="Q61" s="19"/>
      <c r="R61" s="19"/>
      <c r="S61" s="19"/>
      <c r="T61" s="19"/>
      <c r="U61" s="19"/>
      <c r="V61" s="19">
        <v>31</v>
      </c>
      <c r="W61" s="54">
        <v>66</v>
      </c>
      <c r="X61" s="124">
        <v>60.4</v>
      </c>
      <c r="Y61" s="35">
        <v>52.7</v>
      </c>
      <c r="Z61" s="35">
        <v>78.099999999999994</v>
      </c>
      <c r="AA61" s="35">
        <v>0</v>
      </c>
      <c r="AB61" s="44"/>
    </row>
    <row r="62" spans="1:29" x14ac:dyDescent="0.35">
      <c r="A62" s="72" t="s">
        <v>100</v>
      </c>
      <c r="B62" s="92">
        <f t="shared" ref="B62:I62" si="36">B61*T69/1000000</f>
        <v>9537.1923583999996</v>
      </c>
      <c r="C62" s="95">
        <f t="shared" si="36"/>
        <v>4301.4637736000004</v>
      </c>
      <c r="D62" s="92">
        <f t="shared" si="36"/>
        <v>8341.6501000000007</v>
      </c>
      <c r="E62" s="99">
        <f t="shared" si="36"/>
        <v>9612.9741287999987</v>
      </c>
      <c r="F62" s="103">
        <f t="shared" si="36"/>
        <v>7484.2981304000004</v>
      </c>
      <c r="G62" s="103">
        <f t="shared" si="36"/>
        <v>15397.272245600001</v>
      </c>
      <c r="H62" s="103">
        <f t="shared" si="36"/>
        <v>13554.757260800001</v>
      </c>
      <c r="I62" s="103">
        <f t="shared" si="36"/>
        <v>15433.466523999999</v>
      </c>
      <c r="J62" s="143"/>
      <c r="K62" s="143"/>
      <c r="L62" s="143"/>
      <c r="M62" s="143"/>
      <c r="O62" s="26" t="s">
        <v>60</v>
      </c>
      <c r="P62" s="20">
        <f>SUM(P52:P61)</f>
        <v>2598.5590000000002</v>
      </c>
      <c r="Q62" s="20">
        <f>SUM(Q52:Q61)</f>
        <v>2343.7139999999999</v>
      </c>
      <c r="R62" s="20">
        <f t="shared" ref="R62:S62" si="37">SUM(R52:R61)</f>
        <v>2505.1620000000003</v>
      </c>
      <c r="S62" s="20">
        <f t="shared" si="37"/>
        <v>3591.3910000000001</v>
      </c>
      <c r="T62" s="20">
        <f>SUM(T52:T61)-T54</f>
        <v>1634</v>
      </c>
      <c r="U62" s="20">
        <f t="shared" ref="U62:X62" si="38">SUM(U52:U61)-U54</f>
        <v>1673</v>
      </c>
      <c r="V62" s="20">
        <f t="shared" si="38"/>
        <v>2032</v>
      </c>
      <c r="W62" s="20">
        <f t="shared" si="38"/>
        <v>2210</v>
      </c>
      <c r="X62" s="20">
        <f t="shared" si="38"/>
        <v>2134.0000000000009</v>
      </c>
      <c r="Y62" s="20">
        <f>SUM(Y52:Y61)-Y54</f>
        <v>2468.5</v>
      </c>
      <c r="Z62" s="20">
        <f>SUM(Z52:Z61)-Z54</f>
        <v>2922.3999999999996</v>
      </c>
      <c r="AA62" s="20">
        <f>SUM(AA52:AA61)-AA54</f>
        <v>3337.2</v>
      </c>
      <c r="AB62" s="44"/>
    </row>
    <row r="63" spans="1:29" ht="15" thickBot="1" x14ac:dyDescent="0.4">
      <c r="A63" s="72" t="s">
        <v>101</v>
      </c>
      <c r="B63" s="92">
        <f>T12</f>
        <v>0</v>
      </c>
      <c r="C63" s="95">
        <f>U12</f>
        <v>0</v>
      </c>
      <c r="D63" s="92">
        <f>V12</f>
        <v>0</v>
      </c>
      <c r="E63" s="99">
        <f>W12</f>
        <v>0</v>
      </c>
      <c r="F63" s="103">
        <f>X12</f>
        <v>0</v>
      </c>
      <c r="G63" s="100">
        <v>0</v>
      </c>
      <c r="H63" s="100">
        <v>0</v>
      </c>
      <c r="I63" s="187"/>
      <c r="J63" s="143"/>
      <c r="K63" s="143"/>
      <c r="L63" s="143"/>
      <c r="M63" s="143"/>
      <c r="O63" s="82" t="s">
        <v>105</v>
      </c>
      <c r="P63" s="83">
        <f>2598.559-1859.879</f>
        <v>738.68000000000029</v>
      </c>
      <c r="Q63" s="83">
        <f t="shared" ref="Q63:V63" si="39">Q62-Q36</f>
        <v>533.46399999999994</v>
      </c>
      <c r="R63" s="83">
        <f t="shared" si="39"/>
        <v>126.19100000000026</v>
      </c>
      <c r="S63" s="83">
        <f t="shared" si="39"/>
        <v>93.132999999999811</v>
      </c>
      <c r="T63" s="83">
        <f t="shared" si="39"/>
        <v>602</v>
      </c>
      <c r="U63" s="83">
        <f t="shared" si="39"/>
        <v>722</v>
      </c>
      <c r="V63" s="83">
        <f t="shared" si="39"/>
        <v>789</v>
      </c>
      <c r="W63" s="83">
        <f>W62-W36</f>
        <v>1124</v>
      </c>
      <c r="X63" s="126">
        <f>X62-X36</f>
        <v>919.80000000000086</v>
      </c>
      <c r="Y63" s="126">
        <f>Y62-Y36</f>
        <v>765.10000000000014</v>
      </c>
      <c r="Z63" s="126">
        <f>Z62-Z36</f>
        <v>1087.8999999999996</v>
      </c>
      <c r="AA63" s="126">
        <f>AA62-AA36</f>
        <v>1396.4729978931528</v>
      </c>
      <c r="AB63" s="44"/>
    </row>
    <row r="64" spans="1:29" x14ac:dyDescent="0.35">
      <c r="A64" s="72" t="s">
        <v>102</v>
      </c>
      <c r="B64" s="92">
        <f t="shared" ref="B64:I64" si="40">T56+T57</f>
        <v>138</v>
      </c>
      <c r="C64" s="95">
        <f t="shared" si="40"/>
        <v>284</v>
      </c>
      <c r="D64" s="92">
        <f t="shared" si="40"/>
        <v>327</v>
      </c>
      <c r="E64" s="99">
        <f t="shared" si="40"/>
        <v>366</v>
      </c>
      <c r="F64" s="103">
        <f t="shared" si="40"/>
        <v>228.2</v>
      </c>
      <c r="G64" s="103">
        <f t="shared" si="40"/>
        <v>189.1</v>
      </c>
      <c r="H64" s="103">
        <f t="shared" si="40"/>
        <v>236.5</v>
      </c>
      <c r="I64" s="103">
        <f t="shared" si="40"/>
        <v>62.2</v>
      </c>
      <c r="J64" s="143"/>
      <c r="K64" s="143"/>
      <c r="L64" s="143"/>
      <c r="M64" s="143"/>
      <c r="O64" s="84" t="s">
        <v>61</v>
      </c>
      <c r="P64" s="85">
        <f t="shared" ref="P64:S64" si="41">SUM(P50,P62)</f>
        <v>6093.8860000000004</v>
      </c>
      <c r="Q64" s="85">
        <f t="shared" si="41"/>
        <v>6302.4049999999997</v>
      </c>
      <c r="R64" s="85">
        <f t="shared" si="41"/>
        <v>6548.8460000000005</v>
      </c>
      <c r="S64" s="85">
        <f t="shared" si="41"/>
        <v>7802.7669999999998</v>
      </c>
      <c r="T64" s="128">
        <f>SUM(T50,T62)+T54</f>
        <v>5097</v>
      </c>
      <c r="U64" s="128">
        <f t="shared" ref="U64:W64" si="42">SUM(U50,U62)+U54</f>
        <v>5295.3</v>
      </c>
      <c r="V64" s="128">
        <f t="shared" si="42"/>
        <v>5929.5</v>
      </c>
      <c r="W64" s="128">
        <f t="shared" si="42"/>
        <v>6412</v>
      </c>
      <c r="X64" s="128">
        <f>SUM(X50,X62)+X54</f>
        <v>7177.5000000000009</v>
      </c>
      <c r="Y64" s="128">
        <f>SUM(Y50,Y62)+Y54</f>
        <v>8370.2999999999993</v>
      </c>
      <c r="Z64" s="128">
        <f>SUM(Z50,Z62)+Z54</f>
        <v>9388.7999999999993</v>
      </c>
      <c r="AA64" s="128">
        <f>SUM(AA50,AA62)+AA54</f>
        <v>10673.06079321972</v>
      </c>
      <c r="AB64" s="44"/>
      <c r="AC64" s="44"/>
    </row>
    <row r="65" spans="1:41" ht="15" thickBot="1" x14ac:dyDescent="0.4">
      <c r="A65" s="73" t="s">
        <v>103</v>
      </c>
      <c r="B65" s="93">
        <f t="shared" ref="B65:C65" si="43">B62+B63-B64</f>
        <v>9399.1923583999996</v>
      </c>
      <c r="C65" s="96">
        <f t="shared" si="43"/>
        <v>4017.4637736000004</v>
      </c>
      <c r="D65" s="93">
        <f t="shared" ref="D65" si="44">D62+D63-D64</f>
        <v>8014.6501000000007</v>
      </c>
      <c r="E65" s="96">
        <f t="shared" ref="E65:I65" si="45">E62+E63-E64</f>
        <v>9246.9741287999987</v>
      </c>
      <c r="F65" s="93">
        <f t="shared" si="45"/>
        <v>7256.0981304000006</v>
      </c>
      <c r="G65" s="101">
        <f t="shared" si="45"/>
        <v>15208.172245600001</v>
      </c>
      <c r="H65" s="101">
        <f t="shared" si="45"/>
        <v>13318.257260800001</v>
      </c>
      <c r="I65" s="93">
        <f>I62+I63-I64</f>
        <v>15371.266523999999</v>
      </c>
      <c r="J65" s="151"/>
      <c r="K65" s="151"/>
      <c r="L65" s="151"/>
      <c r="M65" s="151"/>
      <c r="O65" s="45" t="s">
        <v>47</v>
      </c>
      <c r="P65" s="46">
        <f t="shared" ref="P65:V65" si="46">+P36+P22+P12+P8+P9</f>
        <v>6093.8860000000004</v>
      </c>
      <c r="Q65" s="46">
        <f t="shared" si="46"/>
        <v>6482.9340000000002</v>
      </c>
      <c r="R65" s="46">
        <f t="shared" si="46"/>
        <v>6766.7760000000007</v>
      </c>
      <c r="S65" s="46">
        <f t="shared" si="46"/>
        <v>8167.8360000000002</v>
      </c>
      <c r="T65" s="46">
        <f t="shared" si="46"/>
        <v>5097</v>
      </c>
      <c r="U65" s="46">
        <f t="shared" si="46"/>
        <v>5295</v>
      </c>
      <c r="V65" s="46">
        <f t="shared" si="46"/>
        <v>5931.1</v>
      </c>
      <c r="W65" s="90">
        <f>W36+W22+W8+W12</f>
        <v>6412</v>
      </c>
      <c r="X65" s="129">
        <f>X36+X8+X12+X22</f>
        <v>7177.4</v>
      </c>
      <c r="Y65" s="129">
        <f>Y36+Y8+Y12+Y22</f>
        <v>8370.2999999999993</v>
      </c>
      <c r="Z65" s="129">
        <f>Z36+Z8+Z12+Z22</f>
        <v>9388.7999999999993</v>
      </c>
      <c r="AA65" s="129">
        <f>AA36+AA8+AA12+AA22</f>
        <v>10673.0626782</v>
      </c>
      <c r="AB65" s="44"/>
    </row>
    <row r="66" spans="1:41" ht="15" thickBot="1" x14ac:dyDescent="0.4"/>
    <row r="67" spans="1:41" x14ac:dyDescent="0.35">
      <c r="O67" s="213" t="s">
        <v>68</v>
      </c>
      <c r="P67" s="214"/>
      <c r="Q67" s="214"/>
      <c r="R67" s="214"/>
      <c r="S67" s="214"/>
      <c r="T67" s="214"/>
      <c r="U67" s="214"/>
      <c r="V67" s="214"/>
      <c r="W67" s="214"/>
      <c r="X67" s="214"/>
      <c r="Y67" s="215"/>
      <c r="Z67" s="181"/>
      <c r="AA67" s="182"/>
    </row>
    <row r="68" spans="1:41" x14ac:dyDescent="0.35">
      <c r="O68" s="51" t="s">
        <v>69</v>
      </c>
      <c r="P68" s="52"/>
      <c r="Q68" s="50" t="s">
        <v>2</v>
      </c>
      <c r="R68" s="50" t="s">
        <v>3</v>
      </c>
      <c r="S68" s="53" t="s">
        <v>4</v>
      </c>
      <c r="T68" s="53" t="s">
        <v>5</v>
      </c>
      <c r="U68" s="53" t="s">
        <v>6</v>
      </c>
      <c r="V68" s="53" t="s">
        <v>171</v>
      </c>
      <c r="W68" s="53" t="s">
        <v>172</v>
      </c>
      <c r="X68" s="145" t="s">
        <v>182</v>
      </c>
      <c r="Y68" s="146" t="s">
        <v>209</v>
      </c>
      <c r="Z68" s="146" t="s">
        <v>214</v>
      </c>
      <c r="AA68" s="147" t="s">
        <v>238</v>
      </c>
    </row>
    <row r="69" spans="1:41" x14ac:dyDescent="0.35">
      <c r="A69" s="113" t="s">
        <v>197</v>
      </c>
      <c r="B69" s="44"/>
      <c r="C69" s="44"/>
      <c r="D69" s="44"/>
      <c r="I69" s="63" t="s">
        <v>237</v>
      </c>
      <c r="O69" s="37" t="s">
        <v>70</v>
      </c>
      <c r="P69" s="2"/>
      <c r="Q69" s="2">
        <v>38.65</v>
      </c>
      <c r="R69" s="2">
        <v>59.85</v>
      </c>
      <c r="S69" s="2">
        <v>169.9</v>
      </c>
      <c r="T69" s="32">
        <v>421.6</v>
      </c>
      <c r="U69" s="32">
        <v>190.15</v>
      </c>
      <c r="V69" s="32">
        <v>368.75</v>
      </c>
      <c r="W69" s="32">
        <v>424.95</v>
      </c>
      <c r="X69" s="148">
        <v>330.85</v>
      </c>
      <c r="Y69" s="32">
        <v>680.65</v>
      </c>
      <c r="Z69" s="178">
        <v>599.20000000000005</v>
      </c>
      <c r="AA69" s="230">
        <v>682.25</v>
      </c>
      <c r="AB69" t="s">
        <v>239</v>
      </c>
      <c r="AI69" s="111"/>
      <c r="AJ69" s="111"/>
      <c r="AO69">
        <f t="shared" ref="AO69" si="47">AA69-AH69</f>
        <v>682.25</v>
      </c>
    </row>
    <row r="70" spans="1:41" x14ac:dyDescent="0.35">
      <c r="A70" s="108" t="s">
        <v>199</v>
      </c>
      <c r="B70">
        <v>0</v>
      </c>
      <c r="C70">
        <v>0.52</v>
      </c>
      <c r="D70">
        <v>1.621</v>
      </c>
      <c r="E70">
        <v>1.0619999999999998</v>
      </c>
      <c r="F70">
        <v>17.600000000000001</v>
      </c>
      <c r="G70">
        <v>14.4</v>
      </c>
      <c r="H70">
        <v>12</v>
      </c>
      <c r="I70">
        <f>368/10</f>
        <v>36.799999999999997</v>
      </c>
      <c r="J70" s="205"/>
      <c r="O70" s="38" t="s">
        <v>71</v>
      </c>
      <c r="P70" s="2"/>
      <c r="Q70" s="32" t="e">
        <f>#REF!</f>
        <v>#REF!</v>
      </c>
      <c r="R70" s="32" t="e">
        <f>#REF!</f>
        <v>#REF!</v>
      </c>
      <c r="S70" s="32" t="e">
        <f>#REF!</f>
        <v>#REF!</v>
      </c>
      <c r="T70" s="33">
        <f t="shared" ref="T70:AA70" si="48">B40</f>
        <v>25.88</v>
      </c>
      <c r="U70" s="33">
        <f t="shared" si="48"/>
        <v>24.02</v>
      </c>
      <c r="V70" s="33">
        <f t="shared" si="48"/>
        <v>17.52</v>
      </c>
      <c r="W70" s="32">
        <f t="shared" si="48"/>
        <v>22.21</v>
      </c>
      <c r="X70" s="32">
        <f t="shared" si="48"/>
        <v>21.32</v>
      </c>
      <c r="Y70" s="148">
        <f t="shared" si="48"/>
        <v>26.21</v>
      </c>
      <c r="Z70" s="174">
        <f t="shared" si="48"/>
        <v>36.372599709019205</v>
      </c>
      <c r="AA70" s="174">
        <f t="shared" si="48"/>
        <v>49.143679018615273</v>
      </c>
      <c r="AB70" s="201"/>
    </row>
    <row r="71" spans="1:41" x14ac:dyDescent="0.35">
      <c r="A71" s="108" t="s">
        <v>200</v>
      </c>
      <c r="B71">
        <v>0</v>
      </c>
      <c r="C71">
        <v>0</v>
      </c>
      <c r="D71">
        <v>0</v>
      </c>
      <c r="E71">
        <v>0</v>
      </c>
      <c r="F71">
        <v>26.1</v>
      </c>
      <c r="G71">
        <v>8.3000000000000007</v>
      </c>
      <c r="H71">
        <f>0.7+1.3</f>
        <v>2</v>
      </c>
      <c r="I71">
        <v>0</v>
      </c>
      <c r="O71" s="38" t="s">
        <v>72</v>
      </c>
      <c r="P71" s="2"/>
      <c r="Q71" s="33" t="e">
        <f>Q8/(#REF!/1000000)</f>
        <v>#REF!</v>
      </c>
      <c r="R71" s="33" t="e">
        <f>R8/(#REF!/1000000)</f>
        <v>#REF!</v>
      </c>
      <c r="S71" s="33" t="e">
        <f>S8/(#REF!/1000000)</f>
        <v>#REF!</v>
      </c>
      <c r="T71" s="33">
        <f t="shared" ref="T71:AA71" si="49">(T8*1000000)/B61</f>
        <v>177.00035152517367</v>
      </c>
      <c r="U71" s="33">
        <f t="shared" si="49"/>
        <v>185.57629263303673</v>
      </c>
      <c r="V71" s="33">
        <f t="shared" si="49"/>
        <v>199.36852781681648</v>
      </c>
      <c r="W71" s="33">
        <f t="shared" si="49"/>
        <v>223.32811586043388</v>
      </c>
      <c r="X71" s="33">
        <f t="shared" si="49"/>
        <v>247.69439801844482</v>
      </c>
      <c r="Y71" s="33">
        <f t="shared" si="49"/>
        <v>275.51315956060063</v>
      </c>
      <c r="Z71" s="33">
        <f t="shared" si="49"/>
        <v>314.38339160257993</v>
      </c>
      <c r="AA71" s="190">
        <f t="shared" si="49"/>
        <v>363.0744420421986</v>
      </c>
    </row>
    <row r="72" spans="1:41" x14ac:dyDescent="0.35">
      <c r="A72" s="108" t="s">
        <v>201</v>
      </c>
      <c r="B72">
        <v>0</v>
      </c>
      <c r="C72">
        <v>0</v>
      </c>
      <c r="D72">
        <v>0</v>
      </c>
      <c r="E72">
        <v>0</v>
      </c>
      <c r="F72">
        <v>1.5660000000000001</v>
      </c>
      <c r="G72">
        <v>0</v>
      </c>
      <c r="I72">
        <v>0</v>
      </c>
      <c r="O72" s="37" t="s">
        <v>73</v>
      </c>
      <c r="P72" s="2"/>
      <c r="Q72" s="34">
        <v>0.20159999999999997</v>
      </c>
      <c r="R72" s="34">
        <v>0.30130000000000001</v>
      </c>
      <c r="S72" s="34">
        <v>0.48840000000000006</v>
      </c>
      <c r="T72" s="34">
        <v>6.5</v>
      </c>
      <c r="U72" s="34">
        <v>10.75</v>
      </c>
      <c r="V72" s="34">
        <v>0</v>
      </c>
      <c r="W72" s="34">
        <v>12.25</v>
      </c>
      <c r="X72" s="42">
        <v>9.25</v>
      </c>
      <c r="Y72" s="149">
        <v>10.25</v>
      </c>
      <c r="Z72" s="149">
        <v>12.5</v>
      </c>
      <c r="AA72" s="34">
        <v>15.5</v>
      </c>
    </row>
    <row r="73" spans="1:41" x14ac:dyDescent="0.35">
      <c r="A73" s="112" t="s">
        <v>202</v>
      </c>
      <c r="B73" s="109">
        <f>SUM(B70:B72)</f>
        <v>0</v>
      </c>
      <c r="C73" s="109">
        <f t="shared" ref="C73:F73" si="50">SUM(C70:C72)</f>
        <v>0.52</v>
      </c>
      <c r="D73" s="109">
        <f t="shared" si="50"/>
        <v>1.621</v>
      </c>
      <c r="E73" s="109">
        <f t="shared" si="50"/>
        <v>1.0619999999999998</v>
      </c>
      <c r="F73" s="109">
        <f t="shared" si="50"/>
        <v>45.266000000000005</v>
      </c>
      <c r="G73" s="109">
        <f>SUM(G70:G72)</f>
        <v>22.700000000000003</v>
      </c>
      <c r="H73" s="109">
        <f>SUM(H70:H72)</f>
        <v>14</v>
      </c>
      <c r="I73" s="109">
        <f>SUM(I70:I72)</f>
        <v>36.799999999999997</v>
      </c>
      <c r="J73" s="206"/>
      <c r="L73" s="109"/>
      <c r="M73" s="109"/>
      <c r="O73" s="37" t="s">
        <v>74</v>
      </c>
      <c r="P73" s="2"/>
      <c r="Q73" s="34" t="e">
        <f t="shared" ref="Q73:S73" si="51">Q69/Q70</f>
        <v>#REF!</v>
      </c>
      <c r="R73" s="34" t="e">
        <f t="shared" si="51"/>
        <v>#REF!</v>
      </c>
      <c r="S73" s="34" t="e">
        <f t="shared" si="51"/>
        <v>#REF!</v>
      </c>
      <c r="T73" s="33">
        <f t="shared" ref="T73:X73" si="52">T69/T70</f>
        <v>16.290571870170016</v>
      </c>
      <c r="U73" s="33">
        <f t="shared" si="52"/>
        <v>7.9163197335553708</v>
      </c>
      <c r="V73" s="33">
        <f t="shared" si="52"/>
        <v>21.047374429223744</v>
      </c>
      <c r="W73" s="33">
        <f t="shared" si="52"/>
        <v>19.133273300315171</v>
      </c>
      <c r="X73" s="33">
        <f t="shared" si="52"/>
        <v>15.51829268292683</v>
      </c>
      <c r="Y73" s="135">
        <f>Y69/Y70</f>
        <v>25.969095764975197</v>
      </c>
      <c r="Z73" s="135">
        <f>Z69/Z70</f>
        <v>16.473939305785123</v>
      </c>
      <c r="AA73" s="191">
        <f>AA69/AA70</f>
        <v>13.8827620077359</v>
      </c>
    </row>
    <row r="74" spans="1:41" x14ac:dyDescent="0.35">
      <c r="O74" s="37" t="s">
        <v>75</v>
      </c>
      <c r="P74" s="2"/>
      <c r="Q74" s="34" t="e">
        <f>Q69/Q71</f>
        <v>#REF!</v>
      </c>
      <c r="R74" s="34" t="e">
        <f t="shared" ref="R74:S74" si="53">R69/R71</f>
        <v>#REF!</v>
      </c>
      <c r="S74" s="34" t="e">
        <f t="shared" si="53"/>
        <v>#REF!</v>
      </c>
      <c r="T74" s="33">
        <f t="shared" ref="T74:Y74" si="54">T69/T71</f>
        <v>2.3819161734265735</v>
      </c>
      <c r="U74" s="33">
        <f t="shared" si="54"/>
        <v>1.0246459679847546</v>
      </c>
      <c r="V74" s="33">
        <f t="shared" si="54"/>
        <v>1.849589822616408</v>
      </c>
      <c r="W74" s="33">
        <f t="shared" si="54"/>
        <v>1.902805647030879</v>
      </c>
      <c r="X74" s="33">
        <f t="shared" si="54"/>
        <v>1.335718541262136</v>
      </c>
      <c r="Y74" s="33">
        <f t="shared" si="54"/>
        <v>2.4704809058323303</v>
      </c>
      <c r="Z74" s="33">
        <f t="shared" ref="Z74:AA74" si="55">Z69/Z71</f>
        <v>1.9059531005933801</v>
      </c>
      <c r="AA74" s="190">
        <f t="shared" si="55"/>
        <v>1.8790912303342602</v>
      </c>
    </row>
    <row r="75" spans="1:41" x14ac:dyDescent="0.35">
      <c r="A75" s="110"/>
      <c r="O75" s="37" t="s">
        <v>76</v>
      </c>
      <c r="P75" s="2"/>
      <c r="Q75" s="34" t="e">
        <f>#REF!/#REF!</f>
        <v>#REF!</v>
      </c>
      <c r="R75" s="34" t="e">
        <f>#REF!/#REF!</f>
        <v>#REF!</v>
      </c>
      <c r="S75" s="34" t="e">
        <f>#REF!/#REF!</f>
        <v>#REF!</v>
      </c>
      <c r="T75" s="33">
        <f t="shared" ref="T75:AA75" si="56">B65/B18</f>
        <v>12.012468938581607</v>
      </c>
      <c r="U75" s="33">
        <f t="shared" si="56"/>
        <v>7.0661325148799099</v>
      </c>
      <c r="V75" s="33">
        <f t="shared" si="56"/>
        <v>17.292630622777654</v>
      </c>
      <c r="W75" s="33">
        <f t="shared" si="56"/>
        <v>18.603261019349699</v>
      </c>
      <c r="X75" s="33">
        <f t="shared" si="56"/>
        <v>13.716631626465054</v>
      </c>
      <c r="Y75" s="33">
        <f t="shared" si="56"/>
        <v>22.907323762012332</v>
      </c>
      <c r="Z75" s="33">
        <f t="shared" si="56"/>
        <v>13.994175959651168</v>
      </c>
      <c r="AA75" s="190">
        <f>I65/I18</f>
        <v>12.578777842880523</v>
      </c>
    </row>
    <row r="76" spans="1:41" x14ac:dyDescent="0.35">
      <c r="A76" s="108" t="s">
        <v>198</v>
      </c>
      <c r="B76">
        <v>11.452999999999999</v>
      </c>
      <c r="C76">
        <v>2.032</v>
      </c>
      <c r="D76">
        <v>8.8510000000000009</v>
      </c>
      <c r="E76">
        <v>0</v>
      </c>
      <c r="F76">
        <f>(77.25)/10</f>
        <v>7.7249999999999996</v>
      </c>
      <c r="G76">
        <v>0</v>
      </c>
      <c r="H76">
        <v>0</v>
      </c>
      <c r="I76">
        <v>0</v>
      </c>
      <c r="O76" s="39" t="s">
        <v>77</v>
      </c>
      <c r="P76" s="32"/>
      <c r="Q76" s="31" t="e">
        <f>#REF!/Q8</f>
        <v>#REF!</v>
      </c>
      <c r="R76" s="31" t="e">
        <f>#REF!/R8</f>
        <v>#REF!</v>
      </c>
      <c r="S76" s="31" t="e">
        <f>#REF!/S8</f>
        <v>#REF!</v>
      </c>
      <c r="T76" s="31">
        <f t="shared" ref="T76:AA76" si="57">B34/T8</f>
        <v>0.14610389610389621</v>
      </c>
      <c r="U76" s="31">
        <f t="shared" si="57"/>
        <v>0.12934730824201995</v>
      </c>
      <c r="V76" s="31">
        <f t="shared" si="57"/>
        <v>8.7804878048780441E-2</v>
      </c>
      <c r="W76" s="31">
        <f t="shared" si="57"/>
        <v>9.9564528899445739E-2</v>
      </c>
      <c r="X76" s="31">
        <f t="shared" si="57"/>
        <v>8.6075813820673752E-2</v>
      </c>
      <c r="Y76" s="31">
        <f t="shared" si="57"/>
        <v>9.5146409947854102E-2</v>
      </c>
      <c r="Z76" s="31">
        <f t="shared" si="57"/>
        <v>0.11569504204280194</v>
      </c>
      <c r="AA76" s="192">
        <f t="shared" si="57"/>
        <v>0.13535427815352397</v>
      </c>
    </row>
    <row r="77" spans="1:41" x14ac:dyDescent="0.35">
      <c r="A77" s="112" t="s">
        <v>203</v>
      </c>
      <c r="B77" s="111">
        <f>B76</f>
        <v>11.452999999999999</v>
      </c>
      <c r="C77" s="111">
        <f t="shared" ref="C77:H77" si="58">C76</f>
        <v>2.032</v>
      </c>
      <c r="D77" s="111">
        <f t="shared" si="58"/>
        <v>8.8510000000000009</v>
      </c>
      <c r="E77" s="111">
        <f t="shared" si="58"/>
        <v>0</v>
      </c>
      <c r="F77" s="111">
        <f t="shared" si="58"/>
        <v>7.7249999999999996</v>
      </c>
      <c r="G77" s="111">
        <f t="shared" si="58"/>
        <v>0</v>
      </c>
      <c r="H77" s="176">
        <f t="shared" si="58"/>
        <v>0</v>
      </c>
      <c r="I77" s="176">
        <f t="shared" ref="I77" si="59">I76</f>
        <v>0</v>
      </c>
      <c r="J77" s="111"/>
      <c r="K77" s="111"/>
      <c r="M77" s="111"/>
      <c r="O77" s="39" t="s">
        <v>78</v>
      </c>
      <c r="P77" s="32"/>
      <c r="Q77" s="31" t="e">
        <f>(#REF!-#REF!+#REF!)/Q13</f>
        <v>#REF!</v>
      </c>
      <c r="R77" s="31" t="e">
        <f>(#REF!-#REF!+#REF!)/R13</f>
        <v>#REF!</v>
      </c>
      <c r="S77" s="31" t="e">
        <f>(#REF!-#REF!+#REF!)/S13</f>
        <v>#REF!</v>
      </c>
      <c r="T77" s="31">
        <f>T95</f>
        <v>0.47731846259437227</v>
      </c>
      <c r="U77" s="31">
        <f t="shared" ref="U77:X77" si="60">U95</f>
        <v>0.26504779007125046</v>
      </c>
      <c r="V77" s="31">
        <f t="shared" si="60"/>
        <v>0.17326219658735872</v>
      </c>
      <c r="W77" s="31">
        <f t="shared" si="60"/>
        <v>0.14473535194651982</v>
      </c>
      <c r="X77" s="31">
        <f t="shared" si="60"/>
        <v>0.15863412208362643</v>
      </c>
      <c r="Y77" s="31">
        <f>Y95</f>
        <v>0.21845590427117517</v>
      </c>
      <c r="Z77" s="31">
        <f>Z95</f>
        <v>0.26367684478371456</v>
      </c>
      <c r="AA77" s="31">
        <f>AA95</f>
        <v>0.34968766487928243</v>
      </c>
    </row>
    <row r="78" spans="1:41" x14ac:dyDescent="0.35">
      <c r="O78" s="37" t="s">
        <v>79</v>
      </c>
      <c r="P78" s="2"/>
      <c r="Q78" s="34">
        <f t="shared" ref="Q78:S78" si="61">Q12/Q8</f>
        <v>0.4281057108860602</v>
      </c>
      <c r="R78" s="34">
        <f t="shared" si="61"/>
        <v>0.27749324737238124</v>
      </c>
      <c r="S78" s="34">
        <f t="shared" si="61"/>
        <v>0.16812522749806946</v>
      </c>
      <c r="T78" s="33">
        <f t="shared" ref="T78:Y78" si="62">T12/T8</f>
        <v>0</v>
      </c>
      <c r="U78" s="33">
        <f t="shared" si="62"/>
        <v>0</v>
      </c>
      <c r="V78" s="33">
        <f t="shared" si="62"/>
        <v>0</v>
      </c>
      <c r="W78" s="33">
        <f t="shared" si="62"/>
        <v>0</v>
      </c>
      <c r="X78" s="33">
        <f t="shared" si="62"/>
        <v>0</v>
      </c>
      <c r="Y78" s="33">
        <f t="shared" si="62"/>
        <v>0</v>
      </c>
      <c r="Z78" s="33">
        <f t="shared" ref="Z78:AA78" si="63">Z12/Z8</f>
        <v>0</v>
      </c>
      <c r="AA78" s="190">
        <f t="shared" si="63"/>
        <v>0</v>
      </c>
    </row>
    <row r="79" spans="1:41" x14ac:dyDescent="0.35">
      <c r="O79" s="37" t="s">
        <v>80</v>
      </c>
      <c r="P79" s="2"/>
      <c r="Q79" s="34">
        <f t="shared" ref="Q79:X79" si="64">(Q12-Q56-Q57)/Q8</f>
        <v>0.39507646468391111</v>
      </c>
      <c r="R79" s="34">
        <f t="shared" si="64"/>
        <v>0.23986746555418853</v>
      </c>
      <c r="S79" s="34">
        <f t="shared" si="64"/>
        <v>0.13978240259419109</v>
      </c>
      <c r="T79" s="33">
        <f t="shared" si="64"/>
        <v>-3.4465534465534464E-2</v>
      </c>
      <c r="U79" s="33">
        <f t="shared" si="64"/>
        <v>-6.7651262505955212E-2</v>
      </c>
      <c r="V79" s="33">
        <f t="shared" si="64"/>
        <v>-7.2505543237250558E-2</v>
      </c>
      <c r="W79" s="33">
        <f t="shared" si="64"/>
        <v>-7.244655581947744E-2</v>
      </c>
      <c r="X79" s="33">
        <f t="shared" si="64"/>
        <v>-4.0726727584237579E-2</v>
      </c>
      <c r="Y79" s="33">
        <f t="shared" ref="Y79:Z79" si="65">(Y12-Y56-Y57)/Y8</f>
        <v>-3.0340954673084636E-2</v>
      </c>
      <c r="Z79" s="33">
        <f t="shared" si="65"/>
        <v>-3.3254590961500602E-2</v>
      </c>
      <c r="AA79" s="190">
        <f t="shared" ref="AA79" si="66">(AA12-AA56-AA57)/AA8</f>
        <v>-7.5731187381030789E-3</v>
      </c>
    </row>
    <row r="80" spans="1:41" x14ac:dyDescent="0.35">
      <c r="O80" s="37" t="s">
        <v>81</v>
      </c>
      <c r="P80" s="2"/>
      <c r="Q80" s="30" t="e">
        <f>Q72/Q70</f>
        <v>#REF!</v>
      </c>
      <c r="R80" s="30" t="e">
        <f t="shared" ref="R80:S80" si="67">R72/R70</f>
        <v>#REF!</v>
      </c>
      <c r="S80" s="30" t="e">
        <f t="shared" si="67"/>
        <v>#REF!</v>
      </c>
      <c r="T80" s="31">
        <f t="shared" ref="T80:Y80" si="68">T72/T69</f>
        <v>1.5417457305502846E-2</v>
      </c>
      <c r="U80" s="31">
        <f t="shared" si="68"/>
        <v>5.6534315014462266E-2</v>
      </c>
      <c r="V80" s="31">
        <f t="shared" si="68"/>
        <v>0</v>
      </c>
      <c r="W80" s="31">
        <f t="shared" si="68"/>
        <v>2.8826920814213439E-2</v>
      </c>
      <c r="X80" s="31">
        <f t="shared" si="68"/>
        <v>2.7958289254949371E-2</v>
      </c>
      <c r="Y80" s="31">
        <f t="shared" si="68"/>
        <v>1.5059134650701536E-2</v>
      </c>
      <c r="Z80" s="31">
        <f t="shared" ref="Z80:AA80" si="69">Z72/Z69</f>
        <v>2.0861148197596793E-2</v>
      </c>
      <c r="AA80" s="31">
        <f t="shared" si="69"/>
        <v>2.2718944668376696E-2</v>
      </c>
    </row>
    <row r="81" spans="15:39" x14ac:dyDescent="0.35">
      <c r="O81" s="37" t="s">
        <v>82</v>
      </c>
      <c r="P81" s="2"/>
      <c r="Q81" s="35" t="e">
        <f>AVERAGE(P55:Q55)/#REF!*365</f>
        <v>#REF!</v>
      </c>
      <c r="R81" s="35" t="e">
        <f>AVERAGE(Q55:R55)/#REF!*365</f>
        <v>#REF!</v>
      </c>
      <c r="S81" s="35" t="e">
        <f>AVERAGE(R55:S55)/#REF!*365</f>
        <v>#REF!</v>
      </c>
      <c r="T81" s="106">
        <f t="shared" ref="T81:AA81" si="70">AVERAGE(S55:T55)/B6*365</f>
        <v>95.17944878141661</v>
      </c>
      <c r="U81" s="106">
        <f t="shared" si="70"/>
        <v>73.221073517126143</v>
      </c>
      <c r="V81" s="106">
        <f t="shared" si="70"/>
        <v>74.903886118038244</v>
      </c>
      <c r="W81" s="106">
        <f t="shared" si="70"/>
        <v>73.315822002472189</v>
      </c>
      <c r="X81" s="106">
        <f t="shared" si="70"/>
        <v>66.06708571428571</v>
      </c>
      <c r="Y81" s="106">
        <f t="shared" si="70"/>
        <v>65.838926637940546</v>
      </c>
      <c r="Z81" s="106">
        <f t="shared" si="70"/>
        <v>67.268562906146798</v>
      </c>
      <c r="AA81" s="106">
        <f t="shared" si="70"/>
        <v>64.240860849056617</v>
      </c>
    </row>
    <row r="82" spans="15:39" x14ac:dyDescent="0.35">
      <c r="O82" s="37" t="s">
        <v>83</v>
      </c>
      <c r="P82" s="2"/>
      <c r="Q82" s="35" t="e">
        <f>AVERAGE(P28:Q28)/#REF!*365</f>
        <v>#REF!</v>
      </c>
      <c r="R82" s="35" t="e">
        <f>AVERAGE(Q28:R28)/#REF!*365</f>
        <v>#REF!</v>
      </c>
      <c r="S82" s="35" t="e">
        <f>AVERAGE(R28:S28)/#REF!*365</f>
        <v>#REF!</v>
      </c>
      <c r="T82" s="106">
        <f t="shared" ref="T82:AA82" si="71">AVERAGE(S28:T28)/SUM(B12:B13)*365</f>
        <v>165.8672283085013</v>
      </c>
      <c r="U82" s="106">
        <f t="shared" si="71"/>
        <v>87.853165765192486</v>
      </c>
      <c r="V82" s="106">
        <f t="shared" si="71"/>
        <v>94.018541219736434</v>
      </c>
      <c r="W82" s="106">
        <f t="shared" si="71"/>
        <v>83.668806646525681</v>
      </c>
      <c r="X82" s="106">
        <f t="shared" si="71"/>
        <v>74.010410976862048</v>
      </c>
      <c r="Y82" s="106">
        <f t="shared" si="71"/>
        <v>85.328278786908839</v>
      </c>
      <c r="Z82" s="106">
        <f t="shared" si="71"/>
        <v>87.901361662370036</v>
      </c>
      <c r="AA82" s="106">
        <f t="shared" si="71"/>
        <v>70.944609297725023</v>
      </c>
    </row>
    <row r="83" spans="15:39" x14ac:dyDescent="0.35">
      <c r="O83" s="37" t="s">
        <v>84</v>
      </c>
      <c r="P83" s="2"/>
      <c r="Q83" s="35" t="e">
        <f>AVERAGE(P52:Q52)/#REF!*365</f>
        <v>#REF!</v>
      </c>
      <c r="R83" s="35" t="e">
        <f>AVERAGE(Q52:R52)/#REF!*365</f>
        <v>#REF!</v>
      </c>
      <c r="S83" s="35" t="e">
        <f>AVERAGE(R52:S52)/#REF!*365</f>
        <v>#REF!</v>
      </c>
      <c r="T83" s="106">
        <f t="shared" ref="T83:AA83" si="72">AVERAGE(S52:T52)/SUM(B12:B14)*365</f>
        <v>95.894245904037447</v>
      </c>
      <c r="U83" s="106">
        <f t="shared" si="72"/>
        <v>42.927527018436109</v>
      </c>
      <c r="V83" s="106">
        <f t="shared" si="72"/>
        <v>46.326923076923073</v>
      </c>
      <c r="W83" s="106">
        <f t="shared" si="72"/>
        <v>43.109509357612545</v>
      </c>
      <c r="X83" s="106">
        <f t="shared" si="72"/>
        <v>42.427666175273373</v>
      </c>
      <c r="Y83" s="106">
        <f t="shared" si="72"/>
        <v>45.75195683942907</v>
      </c>
      <c r="Z83" s="106">
        <f t="shared" si="72"/>
        <v>44.975247956213295</v>
      </c>
      <c r="AA83" s="106">
        <f t="shared" si="72"/>
        <v>40.283644998917516</v>
      </c>
    </row>
    <row r="84" spans="15:39" x14ac:dyDescent="0.35">
      <c r="O84" s="38" t="s">
        <v>85</v>
      </c>
      <c r="P84" s="2"/>
      <c r="Q84" s="40" t="e">
        <f t="shared" ref="Q84:S84" si="73">(Q83+Q81-Q82)</f>
        <v>#REF!</v>
      </c>
      <c r="R84" s="40" t="e">
        <f t="shared" si="73"/>
        <v>#REF!</v>
      </c>
      <c r="S84" s="40" t="e">
        <f t="shared" si="73"/>
        <v>#REF!</v>
      </c>
      <c r="T84" s="40">
        <f>(T83+T81-T82)</f>
        <v>25.206466376952761</v>
      </c>
      <c r="U84" s="40">
        <f t="shared" ref="U84:W84" si="74">(U83+U81-U82)</f>
        <v>28.295434770369766</v>
      </c>
      <c r="V84" s="40">
        <f t="shared" si="74"/>
        <v>27.21226797522489</v>
      </c>
      <c r="W84" s="40">
        <f t="shared" si="74"/>
        <v>32.756524713559045</v>
      </c>
      <c r="X84" s="40">
        <f>(X83+X81-X82)</f>
        <v>34.484340912697036</v>
      </c>
      <c r="Y84" s="40">
        <f>(Y83+Y81-Y82)</f>
        <v>26.262604690460776</v>
      </c>
      <c r="Z84" s="40">
        <f>(Z83+Z81-Z82)</f>
        <v>24.342449199990057</v>
      </c>
      <c r="AA84" s="40">
        <f>(AA83+AA81-AA82)</f>
        <v>33.579896550249103</v>
      </c>
    </row>
    <row r="85" spans="15:39" x14ac:dyDescent="0.35">
      <c r="O85" s="37" t="s">
        <v>86</v>
      </c>
      <c r="P85" s="2"/>
      <c r="Q85" s="35" t="e">
        <f>AVERAGE(P63:Q63)/#REF!*365</f>
        <v>#REF!</v>
      </c>
      <c r="R85" s="35" t="e">
        <f>AVERAGE(Q63:R63)/#REF!*365</f>
        <v>#REF!</v>
      </c>
      <c r="S85" s="35" t="e">
        <f>AVERAGE(R63:S63)/#REF!*365</f>
        <v>#REF!</v>
      </c>
      <c r="T85" s="106">
        <f>(T63)/B6*365</f>
        <v>41.837395277989337</v>
      </c>
      <c r="U85" s="106">
        <f t="shared" ref="U85:AA85" si="75">AVERAGE(T63:U63)/C6*365</f>
        <v>50.465747702589802</v>
      </c>
      <c r="V85" s="106">
        <f t="shared" si="75"/>
        <v>57.306213632585205</v>
      </c>
      <c r="W85" s="106">
        <f t="shared" si="75"/>
        <v>61.649743951968922</v>
      </c>
      <c r="X85" s="106">
        <f t="shared" si="75"/>
        <v>56.837104761904783</v>
      </c>
      <c r="Y85" s="106">
        <f t="shared" si="75"/>
        <v>42.466889017788112</v>
      </c>
      <c r="Z85" s="106">
        <f t="shared" si="75"/>
        <v>40.02846726560373</v>
      </c>
      <c r="AA85" s="106">
        <f t="shared" si="75"/>
        <v>42.433931577147007</v>
      </c>
    </row>
    <row r="86" spans="15:39" ht="15" thickBot="1" x14ac:dyDescent="0.4">
      <c r="O86" s="41" t="s">
        <v>87</v>
      </c>
      <c r="P86" s="36"/>
      <c r="Q86" s="27" t="e">
        <f>#REF!/Q12</f>
        <v>#REF!</v>
      </c>
      <c r="R86" s="27" t="e">
        <f>#REF!/R12</f>
        <v>#REF!</v>
      </c>
      <c r="S86" s="27" t="e">
        <f>#REF!/S12</f>
        <v>#REF!</v>
      </c>
      <c r="T86" s="107">
        <v>0</v>
      </c>
      <c r="U86" s="107">
        <v>0</v>
      </c>
      <c r="V86" s="107">
        <v>0</v>
      </c>
      <c r="W86" s="107">
        <v>0</v>
      </c>
      <c r="X86" s="107">
        <v>0</v>
      </c>
      <c r="Y86" s="107">
        <v>0</v>
      </c>
      <c r="Z86" s="107">
        <v>0</v>
      </c>
      <c r="AA86" s="107">
        <v>0</v>
      </c>
    </row>
    <row r="88" spans="15:39" x14ac:dyDescent="0.35">
      <c r="O88" t="s">
        <v>204</v>
      </c>
    </row>
    <row r="89" spans="15:39" x14ac:dyDescent="0.35">
      <c r="O89" t="s">
        <v>205</v>
      </c>
      <c r="T89" s="44">
        <f>T50-T45</f>
        <v>855</v>
      </c>
      <c r="U89" s="44">
        <f t="shared" ref="U89:Y89" si="76">U50-U45</f>
        <v>1004.3000000000002</v>
      </c>
      <c r="V89" s="44">
        <f t="shared" si="76"/>
        <v>1291.4999999999995</v>
      </c>
      <c r="W89" s="44">
        <f t="shared" si="76"/>
        <v>1419</v>
      </c>
      <c r="X89" s="44">
        <f t="shared" si="76"/>
        <v>1493.3000000000002</v>
      </c>
      <c r="Y89" s="44">
        <f t="shared" si="76"/>
        <v>1583.1999999999998</v>
      </c>
      <c r="Z89" s="44">
        <f t="shared" ref="Z89:AA89" si="77">Z50-Z45</f>
        <v>1741.7000000000003</v>
      </c>
      <c r="AA89" s="44">
        <f t="shared" si="77"/>
        <v>2020.5763292900006</v>
      </c>
      <c r="AB89" s="44">
        <v>855</v>
      </c>
      <c r="AC89" s="44">
        <v>1004.3000000000002</v>
      </c>
      <c r="AD89" s="44">
        <v>1291.4999999999995</v>
      </c>
      <c r="AE89" s="44">
        <v>1419</v>
      </c>
      <c r="AF89" s="44">
        <v>1494</v>
      </c>
      <c r="AG89" s="44">
        <v>1545</v>
      </c>
      <c r="AH89" s="44"/>
      <c r="AI89">
        <f t="shared" ref="AI89:AI96" si="78">T89-AB89</f>
        <v>0</v>
      </c>
      <c r="AJ89">
        <f t="shared" ref="AJ89:AJ96" si="79">U89-AC89</f>
        <v>0</v>
      </c>
      <c r="AK89">
        <f t="shared" ref="AK89:AK96" si="80">V89-AD89</f>
        <v>0</v>
      </c>
      <c r="AL89">
        <f t="shared" ref="AL89:AL96" si="81">W89-AE89</f>
        <v>0</v>
      </c>
      <c r="AM89">
        <f t="shared" ref="AM89:AM96" si="82">X89-AF89</f>
        <v>-0.6999999999998181</v>
      </c>
    </row>
    <row r="90" spans="15:39" x14ac:dyDescent="0.35">
      <c r="O90" t="s">
        <v>206</v>
      </c>
      <c r="T90" s="44">
        <f t="shared" ref="T90:Y90" si="83">T62</f>
        <v>1634</v>
      </c>
      <c r="U90" s="44">
        <f t="shared" si="83"/>
        <v>1673</v>
      </c>
      <c r="V90" s="44">
        <f t="shared" si="83"/>
        <v>2032</v>
      </c>
      <c r="W90" s="44">
        <f t="shared" si="83"/>
        <v>2210</v>
      </c>
      <c r="X90" s="44">
        <f t="shared" si="83"/>
        <v>2134.0000000000009</v>
      </c>
      <c r="Y90" s="44">
        <f t="shared" si="83"/>
        <v>2468.5</v>
      </c>
      <c r="Z90" s="44">
        <f t="shared" ref="Z90:AA90" si="84">Z62</f>
        <v>2922.3999999999996</v>
      </c>
      <c r="AA90" s="44">
        <f t="shared" si="84"/>
        <v>3337.2</v>
      </c>
      <c r="AB90" s="44">
        <v>286</v>
      </c>
      <c r="AC90" s="44">
        <v>242</v>
      </c>
      <c r="AD90" s="44">
        <v>707</v>
      </c>
      <c r="AE90" s="44">
        <v>883</v>
      </c>
      <c r="AF90" s="44">
        <v>611</v>
      </c>
      <c r="AG90" s="44">
        <v>532</v>
      </c>
      <c r="AH90" s="44"/>
      <c r="AI90">
        <f t="shared" si="78"/>
        <v>1348</v>
      </c>
      <c r="AJ90">
        <f t="shared" si="79"/>
        <v>1431</v>
      </c>
      <c r="AK90">
        <f t="shared" si="80"/>
        <v>1325</v>
      </c>
      <c r="AL90">
        <f t="shared" si="81"/>
        <v>1327</v>
      </c>
      <c r="AM90">
        <f t="shared" si="82"/>
        <v>1523.0000000000009</v>
      </c>
    </row>
    <row r="91" spans="15:39" x14ac:dyDescent="0.35">
      <c r="O91" t="s">
        <v>207</v>
      </c>
      <c r="T91" s="44">
        <f>T36</f>
        <v>1032</v>
      </c>
      <c r="U91" s="44">
        <f t="shared" ref="U91:Y91" si="85">U36</f>
        <v>951</v>
      </c>
      <c r="V91" s="44">
        <f t="shared" si="85"/>
        <v>1243</v>
      </c>
      <c r="W91" s="44">
        <f t="shared" si="85"/>
        <v>1086</v>
      </c>
      <c r="X91" s="44">
        <f t="shared" si="85"/>
        <v>1214.2</v>
      </c>
      <c r="Y91" s="44">
        <f t="shared" si="85"/>
        <v>1703.3999999999999</v>
      </c>
      <c r="Z91" s="44">
        <f t="shared" ref="Z91:AA91" si="86">Z36</f>
        <v>1834.5</v>
      </c>
      <c r="AA91" s="44">
        <f t="shared" si="86"/>
        <v>1940.7270021068471</v>
      </c>
      <c r="AB91" s="44">
        <v>1032</v>
      </c>
      <c r="AC91" s="44">
        <v>951</v>
      </c>
      <c r="AD91" s="44">
        <v>1243</v>
      </c>
      <c r="AE91" s="44">
        <v>1086</v>
      </c>
      <c r="AF91" s="44">
        <v>1215</v>
      </c>
      <c r="AG91" s="44">
        <v>1521</v>
      </c>
      <c r="AH91" s="44"/>
      <c r="AI91">
        <f t="shared" si="78"/>
        <v>0</v>
      </c>
      <c r="AJ91">
        <f t="shared" si="79"/>
        <v>0</v>
      </c>
      <c r="AK91">
        <f t="shared" si="80"/>
        <v>0</v>
      </c>
      <c r="AL91">
        <f t="shared" si="81"/>
        <v>0</v>
      </c>
      <c r="AM91">
        <f t="shared" si="82"/>
        <v>-0.79999999999995453</v>
      </c>
    </row>
    <row r="92" spans="15:39" x14ac:dyDescent="0.35">
      <c r="O92" t="s">
        <v>208</v>
      </c>
      <c r="T92" s="44">
        <f>T11</f>
        <v>0</v>
      </c>
      <c r="U92" s="44">
        <f t="shared" ref="U92:Y92" si="87">U11</f>
        <v>0</v>
      </c>
      <c r="V92" s="44">
        <f t="shared" si="87"/>
        <v>0</v>
      </c>
      <c r="W92" s="44">
        <f t="shared" si="87"/>
        <v>0</v>
      </c>
      <c r="X92" s="44">
        <f t="shared" si="87"/>
        <v>0</v>
      </c>
      <c r="Y92" s="44">
        <f t="shared" si="87"/>
        <v>0</v>
      </c>
      <c r="Z92" s="44">
        <f t="shared" ref="Z92" si="88">Z11</f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/>
      <c r="AI92">
        <f t="shared" si="78"/>
        <v>0</v>
      </c>
      <c r="AJ92">
        <f t="shared" si="79"/>
        <v>0</v>
      </c>
      <c r="AK92">
        <f t="shared" si="80"/>
        <v>0</v>
      </c>
      <c r="AL92">
        <f t="shared" si="81"/>
        <v>0</v>
      </c>
      <c r="AM92">
        <f t="shared" si="82"/>
        <v>0</v>
      </c>
    </row>
    <row r="93" spans="15:39" x14ac:dyDescent="0.35">
      <c r="O93" s="130" t="s">
        <v>204</v>
      </c>
      <c r="P93" s="130"/>
      <c r="Q93" s="130"/>
      <c r="R93" s="130"/>
      <c r="S93" s="130"/>
      <c r="T93" s="131">
        <f>T89+T90-T91-T92</f>
        <v>1457</v>
      </c>
      <c r="U93" s="131">
        <f t="shared" ref="U93:Y93" si="89">U89+U90-U91-U92</f>
        <v>1726.3000000000002</v>
      </c>
      <c r="V93" s="131">
        <f t="shared" si="89"/>
        <v>2080.4999999999995</v>
      </c>
      <c r="W93" s="131">
        <f t="shared" si="89"/>
        <v>2543</v>
      </c>
      <c r="X93" s="131">
        <f t="shared" si="89"/>
        <v>2413.1000000000013</v>
      </c>
      <c r="Y93" s="131">
        <f t="shared" si="89"/>
        <v>2348.3000000000002</v>
      </c>
      <c r="Z93" s="131">
        <f t="shared" ref="Z93:AA93" si="90">Z89+Z90-Z91-Z92</f>
        <v>2829.6000000000004</v>
      </c>
      <c r="AA93" s="131">
        <f t="shared" si="90"/>
        <v>3417.0493271831529</v>
      </c>
      <c r="AB93" s="131">
        <v>109</v>
      </c>
      <c r="AC93" s="131">
        <v>295.30000000000018</v>
      </c>
      <c r="AD93" s="131">
        <v>755.49999999999955</v>
      </c>
      <c r="AE93" s="131">
        <v>1216</v>
      </c>
      <c r="AF93" s="131">
        <v>890</v>
      </c>
      <c r="AG93" s="131">
        <v>556</v>
      </c>
      <c r="AH93" s="131"/>
      <c r="AI93">
        <f t="shared" si="78"/>
        <v>1348</v>
      </c>
      <c r="AJ93">
        <f t="shared" si="79"/>
        <v>1431</v>
      </c>
      <c r="AK93">
        <f t="shared" si="80"/>
        <v>1325</v>
      </c>
      <c r="AL93">
        <f t="shared" si="81"/>
        <v>1327</v>
      </c>
      <c r="AM93">
        <f t="shared" si="82"/>
        <v>1523.1000000000013</v>
      </c>
    </row>
    <row r="94" spans="15:39" x14ac:dyDescent="0.35">
      <c r="T94" s="44">
        <f t="shared" ref="T94:Z94" si="91">B34+B28+B23-B7</f>
        <v>695.45300000000043</v>
      </c>
      <c r="U94" s="44">
        <f t="shared" si="91"/>
        <v>457.55199999999974</v>
      </c>
      <c r="V94" s="44">
        <f t="shared" si="91"/>
        <v>360.47199999999975</v>
      </c>
      <c r="W94" s="44">
        <f t="shared" si="91"/>
        <v>368.0619999999999</v>
      </c>
      <c r="X94" s="44">
        <f t="shared" si="91"/>
        <v>382.79999999999916</v>
      </c>
      <c r="Y94" s="44">
        <f t="shared" si="91"/>
        <v>513.00000000000068</v>
      </c>
      <c r="Z94" s="44">
        <f t="shared" si="91"/>
        <v>746.09999999999889</v>
      </c>
      <c r="AA94" s="44">
        <f>I34+I28+I23-I7</f>
        <v>1194.8999999999999</v>
      </c>
      <c r="AB94" s="44">
        <v>704.45300000000043</v>
      </c>
      <c r="AC94" s="44">
        <v>468.55199999999968</v>
      </c>
      <c r="AD94" s="44">
        <v>354.47199999999975</v>
      </c>
      <c r="AE94" s="44">
        <v>363.0619999999999</v>
      </c>
      <c r="AF94" s="44">
        <v>428.17100000000028</v>
      </c>
      <c r="AG94" s="44">
        <v>231.5</v>
      </c>
      <c r="AH94" s="44"/>
      <c r="AI94">
        <f t="shared" si="78"/>
        <v>-9</v>
      </c>
      <c r="AJ94">
        <f t="shared" si="79"/>
        <v>-10.999999999999943</v>
      </c>
      <c r="AK94">
        <f t="shared" si="80"/>
        <v>6</v>
      </c>
      <c r="AL94">
        <f t="shared" si="81"/>
        <v>5</v>
      </c>
      <c r="AM94">
        <f t="shared" si="82"/>
        <v>-45.371000000001118</v>
      </c>
    </row>
    <row r="95" spans="15:39" x14ac:dyDescent="0.35">
      <c r="O95" s="132" t="s">
        <v>126</v>
      </c>
      <c r="P95" s="132"/>
      <c r="Q95" s="132"/>
      <c r="R95" s="132"/>
      <c r="S95" s="132"/>
      <c r="T95" s="133">
        <f>T94/T93</f>
        <v>0.47731846259437227</v>
      </c>
      <c r="U95" s="133">
        <f t="shared" ref="U95:X95" si="92">U94/U93</f>
        <v>0.26504779007125046</v>
      </c>
      <c r="V95" s="133">
        <f t="shared" si="92"/>
        <v>0.17326219658735872</v>
      </c>
      <c r="W95" s="133">
        <f t="shared" si="92"/>
        <v>0.14473535194651982</v>
      </c>
      <c r="X95" s="133">
        <f t="shared" si="92"/>
        <v>0.15863412208362643</v>
      </c>
      <c r="Y95" s="133">
        <f>Y94/Y93</f>
        <v>0.21845590427117517</v>
      </c>
      <c r="Z95" s="177">
        <f>Z94/Z93</f>
        <v>0.26367684478371456</v>
      </c>
      <c r="AA95" s="177">
        <f>AA94/AA93</f>
        <v>0.34968766487928243</v>
      </c>
      <c r="AB95">
        <v>6.4628715596330313</v>
      </c>
      <c r="AC95">
        <v>1.5866982729427681</v>
      </c>
      <c r="AD95">
        <v>0.46918861681005952</v>
      </c>
      <c r="AE95">
        <v>0.29857072368421045</v>
      </c>
      <c r="AF95">
        <v>0.48109101123595538</v>
      </c>
      <c r="AG95">
        <v>0.41636690647482016</v>
      </c>
      <c r="AI95">
        <f t="shared" si="78"/>
        <v>-5.9855530970386592</v>
      </c>
      <c r="AJ95">
        <f t="shared" si="79"/>
        <v>-1.3216504828715177</v>
      </c>
      <c r="AK95">
        <f t="shared" si="80"/>
        <v>-0.29592642022270077</v>
      </c>
      <c r="AL95">
        <f t="shared" si="81"/>
        <v>-0.15383537173769063</v>
      </c>
      <c r="AM95">
        <f t="shared" si="82"/>
        <v>-0.32245688915232895</v>
      </c>
    </row>
    <row r="96" spans="15:39" x14ac:dyDescent="0.35">
      <c r="O96" s="132" t="s">
        <v>125</v>
      </c>
      <c r="P96" s="132"/>
      <c r="Q96" s="132"/>
      <c r="R96" s="132"/>
      <c r="S96" s="132"/>
      <c r="T96" s="133">
        <f t="shared" ref="T96:AA96" si="93">B34/T8</f>
        <v>0.14610389610389621</v>
      </c>
      <c r="U96" s="133">
        <f t="shared" si="93"/>
        <v>0.12934730824201995</v>
      </c>
      <c r="V96" s="133">
        <f t="shared" si="93"/>
        <v>8.7804878048780441E-2</v>
      </c>
      <c r="W96" s="133">
        <f t="shared" si="93"/>
        <v>9.9564528899445739E-2</v>
      </c>
      <c r="X96" s="133">
        <f t="shared" si="93"/>
        <v>8.6075813820673752E-2</v>
      </c>
      <c r="Y96" s="133">
        <f t="shared" si="93"/>
        <v>9.5146409947854102E-2</v>
      </c>
      <c r="Z96" s="177">
        <f t="shared" si="93"/>
        <v>0.11569504204280194</v>
      </c>
      <c r="AA96" s="177">
        <f t="shared" si="93"/>
        <v>0.13535427815352397</v>
      </c>
      <c r="AB96">
        <v>0.14610389610389621</v>
      </c>
      <c r="AC96">
        <v>0.12934730824201995</v>
      </c>
      <c r="AD96">
        <v>8.7804878048780441E-2</v>
      </c>
      <c r="AE96">
        <v>9.9564528899445739E-2</v>
      </c>
      <c r="AF96">
        <v>8.6025343565946849E-2</v>
      </c>
      <c r="AG96">
        <v>4.4811722610325441E-2</v>
      </c>
      <c r="AI96">
        <f t="shared" si="78"/>
        <v>0</v>
      </c>
      <c r="AJ96">
        <f t="shared" si="79"/>
        <v>0</v>
      </c>
      <c r="AK96">
        <f t="shared" si="80"/>
        <v>0</v>
      </c>
      <c r="AL96">
        <f t="shared" si="81"/>
        <v>0</v>
      </c>
      <c r="AM96">
        <f t="shared" si="82"/>
        <v>5.0470254726903141E-5</v>
      </c>
    </row>
    <row r="97" spans="20:27" x14ac:dyDescent="0.35">
      <c r="AA97" s="156">
        <f>I18</f>
        <v>1222</v>
      </c>
    </row>
    <row r="98" spans="20:27" x14ac:dyDescent="0.35">
      <c r="T98" s="134"/>
      <c r="U98" s="134"/>
      <c r="V98" s="134"/>
      <c r="W98" s="134"/>
      <c r="X98" s="134"/>
      <c r="Y98" s="134"/>
      <c r="Z98" s="134"/>
    </row>
    <row r="99" spans="20:27" x14ac:dyDescent="0.35">
      <c r="T99" s="134"/>
      <c r="U99" s="134"/>
      <c r="V99" s="134"/>
      <c r="W99" s="134"/>
      <c r="X99" s="134"/>
      <c r="Y99" s="134"/>
      <c r="Z99" s="134"/>
    </row>
  </sheetData>
  <mergeCells count="6">
    <mergeCell ref="O67:Y67"/>
    <mergeCell ref="A2:X2"/>
    <mergeCell ref="A4:K4"/>
    <mergeCell ref="A45:I45"/>
    <mergeCell ref="A54:I54"/>
    <mergeCell ref="O4:AA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0" max="1048575" man="1"/>
  </colBreaks>
  <ignoredErrors>
    <ignoredError sqref="T81:AA8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G3" sqref="G3"/>
    </sheetView>
  </sheetViews>
  <sheetFormatPr defaultColWidth="8.7265625" defaultRowHeight="15.5" x14ac:dyDescent="0.35"/>
  <cols>
    <col min="1" max="2" width="8.7265625" style="162"/>
    <col min="3" max="3" width="61.54296875" style="162" bestFit="1" customWidth="1"/>
    <col min="4" max="4" width="6.1796875" style="162" bestFit="1" customWidth="1"/>
    <col min="5" max="5" width="70.1796875" style="162" bestFit="1" customWidth="1"/>
    <col min="6" max="16384" width="8.7265625" style="162"/>
  </cols>
  <sheetData>
    <row r="1" spans="1:5" ht="28" customHeight="1" x14ac:dyDescent="0.35">
      <c r="C1" s="161" t="s">
        <v>211</v>
      </c>
      <c r="E1" s="161" t="s">
        <v>212</v>
      </c>
    </row>
    <row r="2" spans="1:5" x14ac:dyDescent="0.35">
      <c r="A2" s="162" t="s">
        <v>229</v>
      </c>
      <c r="B2" s="163">
        <v>1</v>
      </c>
      <c r="C2" s="163" t="s">
        <v>228</v>
      </c>
      <c r="D2" s="165">
        <v>1</v>
      </c>
      <c r="E2" s="196" t="s">
        <v>234</v>
      </c>
    </row>
    <row r="3" spans="1:5" ht="46.5" x14ac:dyDescent="0.35">
      <c r="B3" s="163">
        <v>2</v>
      </c>
      <c r="C3" s="163" t="s">
        <v>225</v>
      </c>
      <c r="D3" s="165">
        <v>2</v>
      </c>
      <c r="E3" s="197" t="s">
        <v>216</v>
      </c>
    </row>
    <row r="4" spans="1:5" x14ac:dyDescent="0.35">
      <c r="B4" s="163">
        <v>3</v>
      </c>
      <c r="C4" s="163" t="s">
        <v>226</v>
      </c>
      <c r="D4" s="165">
        <v>3</v>
      </c>
      <c r="E4" s="197" t="s">
        <v>217</v>
      </c>
    </row>
    <row r="5" spans="1:5" x14ac:dyDescent="0.35">
      <c r="B5" s="163">
        <v>4</v>
      </c>
      <c r="C5" s="163" t="s">
        <v>227</v>
      </c>
      <c r="D5" s="165">
        <v>4</v>
      </c>
      <c r="E5" s="196" t="s">
        <v>218</v>
      </c>
    </row>
    <row r="6" spans="1:5" x14ac:dyDescent="0.35">
      <c r="B6" s="163">
        <v>5</v>
      </c>
      <c r="C6" s="163" t="s">
        <v>224</v>
      </c>
      <c r="D6" s="165">
        <v>5</v>
      </c>
      <c r="E6" s="196" t="s">
        <v>219</v>
      </c>
    </row>
    <row r="7" spans="1:5" ht="31.5" customHeight="1" x14ac:dyDescent="0.35">
      <c r="B7" s="163">
        <v>6</v>
      </c>
      <c r="C7" s="166" t="s">
        <v>231</v>
      </c>
      <c r="D7" s="165">
        <v>6</v>
      </c>
      <c r="E7" s="199" t="s">
        <v>235</v>
      </c>
    </row>
    <row r="8" spans="1:5" x14ac:dyDescent="0.35">
      <c r="B8" s="163">
        <v>7</v>
      </c>
      <c r="C8" s="166" t="s">
        <v>230</v>
      </c>
      <c r="D8" s="165">
        <v>7</v>
      </c>
      <c r="E8" s="195" t="s">
        <v>220</v>
      </c>
    </row>
    <row r="9" spans="1:5" x14ac:dyDescent="0.35">
      <c r="B9" s="163">
        <v>8</v>
      </c>
      <c r="C9" s="166" t="s">
        <v>215</v>
      </c>
      <c r="D9" s="162">
        <v>8</v>
      </c>
      <c r="E9" s="200" t="s">
        <v>221</v>
      </c>
    </row>
    <row r="10" spans="1:5" x14ac:dyDescent="0.35">
      <c r="B10" s="163"/>
      <c r="C10" s="166"/>
      <c r="D10" s="162">
        <v>9</v>
      </c>
      <c r="E10" s="195" t="s">
        <v>236</v>
      </c>
    </row>
    <row r="11" spans="1:5" x14ac:dyDescent="0.35">
      <c r="C11" s="164"/>
      <c r="D11" s="162">
        <v>10</v>
      </c>
      <c r="E11" s="198" t="s">
        <v>222</v>
      </c>
    </row>
    <row r="12" spans="1:5" ht="31" x14ac:dyDescent="0.35">
      <c r="E12" s="195" t="s">
        <v>223</v>
      </c>
    </row>
    <row r="13" spans="1:5" x14ac:dyDescent="0.35">
      <c r="D13" s="162">
        <v>11</v>
      </c>
      <c r="E13" s="162" t="s">
        <v>232</v>
      </c>
    </row>
    <row r="14" spans="1:5" x14ac:dyDescent="0.35">
      <c r="D14" s="162">
        <v>12</v>
      </c>
      <c r="E14" s="162" t="s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7265625" defaultRowHeight="14.5" x14ac:dyDescent="0.35"/>
  <cols>
    <col min="1" max="1" width="20.453125" bestFit="1" customWidth="1"/>
    <col min="4" max="4" width="10.26953125" bestFit="1" customWidth="1"/>
    <col min="8" max="8" width="20.26953125" bestFit="1" customWidth="1"/>
    <col min="11" max="11" width="12" bestFit="1" customWidth="1"/>
  </cols>
  <sheetData>
    <row r="3" spans="1:13" ht="15" thickBot="1" x14ac:dyDescent="0.4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35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35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Sheet'!U8</f>
        <v>4198</v>
      </c>
      <c r="J5">
        <v>31174</v>
      </c>
      <c r="K5">
        <f>5769088987/10^6</f>
        <v>5769.0889870000001</v>
      </c>
    </row>
    <row r="6" spans="1:13" x14ac:dyDescent="0.35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Sheet'!U10</f>
        <v>0</v>
      </c>
      <c r="J6">
        <v>217.8</v>
      </c>
    </row>
    <row r="7" spans="1:13" x14ac:dyDescent="0.35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Sheet'!U11</f>
        <v>0</v>
      </c>
      <c r="J7">
        <v>165.1</v>
      </c>
    </row>
    <row r="8" spans="1:13" x14ac:dyDescent="0.35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35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Sheet'!U13</f>
        <v>4344</v>
      </c>
      <c r="J9">
        <v>32399.4</v>
      </c>
      <c r="K9">
        <f>(7286416406/10^6)-(1099349464/10^6)</f>
        <v>6187.0669420000004</v>
      </c>
    </row>
    <row r="10" spans="1:13" x14ac:dyDescent="0.35">
      <c r="A10" s="11"/>
      <c r="H10" s="11" t="s">
        <v>143</v>
      </c>
      <c r="I10" s="4">
        <f>'Summary Sheet'!U50</f>
        <v>2191.3000000000002</v>
      </c>
      <c r="J10">
        <v>21044.7</v>
      </c>
      <c r="K10">
        <f>3033435232/10^6</f>
        <v>3033.4352319999998</v>
      </c>
    </row>
    <row r="11" spans="1:13" x14ac:dyDescent="0.35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Sheet'!U62</f>
        <v>1673</v>
      </c>
      <c r="J11">
        <v>28970.1</v>
      </c>
      <c r="K11">
        <f>4252981174/10^6</f>
        <v>4252.9811739999996</v>
      </c>
    </row>
    <row r="12" spans="1:13" x14ac:dyDescent="0.35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Sheet'!U52</f>
        <v>387</v>
      </c>
      <c r="J12">
        <v>8833.6</v>
      </c>
      <c r="K12">
        <f>1022696874/10^6</f>
        <v>1022.696874</v>
      </c>
    </row>
    <row r="13" spans="1:13" x14ac:dyDescent="0.35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35">
      <c r="A14" s="11"/>
      <c r="H14" s="11" t="s">
        <v>166</v>
      </c>
      <c r="I14" s="4">
        <f>'Summary Sheet'!U55</f>
        <v>881</v>
      </c>
      <c r="J14">
        <v>7318.6</v>
      </c>
      <c r="K14">
        <f>961576534/10^6</f>
        <v>961.57653400000004</v>
      </c>
    </row>
    <row r="15" spans="1:13" x14ac:dyDescent="0.35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35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Sheet'!U56:U57)</f>
        <v>284</v>
      </c>
      <c r="J16">
        <v>1688.9</v>
      </c>
      <c r="K16">
        <f>+(231535599+26760959)/10^6</f>
        <v>258.296558</v>
      </c>
    </row>
    <row r="17" spans="1:13" x14ac:dyDescent="0.35">
      <c r="A17" s="11"/>
      <c r="H17" s="11" t="s">
        <v>146</v>
      </c>
      <c r="I17" s="4">
        <f>'Summary Sheet'!U36</f>
        <v>951</v>
      </c>
      <c r="J17">
        <v>17754.599999999999</v>
      </c>
      <c r="K17">
        <f>1099349464/10^6</f>
        <v>1099.3494639999999</v>
      </c>
    </row>
    <row r="18" spans="1:13" x14ac:dyDescent="0.35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Sheet'!U28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35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 x14ac:dyDescent="0.4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35">
      <c r="A21" s="11" t="s">
        <v>156</v>
      </c>
      <c r="B21" s="5">
        <f>'Summary Sheet'!C26</f>
        <v>728.99999999999977</v>
      </c>
      <c r="C21">
        <v>6252.5</v>
      </c>
      <c r="D21">
        <f>231033695/10^6</f>
        <v>231.03369499999999</v>
      </c>
    </row>
    <row r="22" spans="1:13" x14ac:dyDescent="0.35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35">
      <c r="A23" s="11"/>
    </row>
    <row r="24" spans="1:13" x14ac:dyDescent="0.35">
      <c r="A24" s="11" t="s">
        <v>158</v>
      </c>
      <c r="B24" s="5">
        <f>'Summary Sheet'!C34</f>
        <v>542.99999999999977</v>
      </c>
      <c r="C24">
        <v>4717.2</v>
      </c>
      <c r="D24">
        <f>180059052/10^6</f>
        <v>180.05905200000001</v>
      </c>
    </row>
    <row r="25" spans="1:13" x14ac:dyDescent="0.35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 x14ac:dyDescent="0.4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35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 x14ac:dyDescent="0.4">
      <c r="A28" s="13" t="s">
        <v>160</v>
      </c>
      <c r="B28" s="4">
        <f>'Summary Sheet'!C40</f>
        <v>24.02</v>
      </c>
      <c r="C28">
        <v>55.04</v>
      </c>
      <c r="D28">
        <v>20.83</v>
      </c>
      <c r="H28" s="11" t="s">
        <v>99</v>
      </c>
    </row>
    <row r="29" spans="1:13" x14ac:dyDescent="0.35">
      <c r="H29" s="11" t="s">
        <v>100</v>
      </c>
    </row>
    <row r="30" spans="1:13" x14ac:dyDescent="0.35">
      <c r="H30" s="11" t="s">
        <v>101</v>
      </c>
    </row>
    <row r="31" spans="1:13" x14ac:dyDescent="0.35">
      <c r="H31" s="11" t="s">
        <v>102</v>
      </c>
    </row>
    <row r="32" spans="1:13" x14ac:dyDescent="0.35">
      <c r="H32" s="11" t="s">
        <v>103</v>
      </c>
    </row>
    <row r="33" spans="8:8" x14ac:dyDescent="0.35">
      <c r="H33" s="11" t="s">
        <v>70</v>
      </c>
    </row>
    <row r="34" spans="8:8" x14ac:dyDescent="0.35">
      <c r="H34" s="11" t="s">
        <v>71</v>
      </c>
    </row>
    <row r="35" spans="8:8" x14ac:dyDescent="0.35">
      <c r="H35" s="11" t="s">
        <v>72</v>
      </c>
    </row>
    <row r="36" spans="8:8" x14ac:dyDescent="0.35">
      <c r="H36" s="11" t="s">
        <v>74</v>
      </c>
    </row>
    <row r="37" spans="8:8" x14ac:dyDescent="0.35">
      <c r="H37" s="11" t="s">
        <v>75</v>
      </c>
    </row>
    <row r="38" spans="8:8" x14ac:dyDescent="0.35">
      <c r="H38" s="11" t="s">
        <v>76</v>
      </c>
    </row>
    <row r="39" spans="8:8" x14ac:dyDescent="0.35">
      <c r="H39" s="11" t="s">
        <v>77</v>
      </c>
    </row>
    <row r="40" spans="8:8" x14ac:dyDescent="0.35">
      <c r="H40" s="11" t="s">
        <v>78</v>
      </c>
    </row>
    <row r="41" spans="8:8" x14ac:dyDescent="0.35">
      <c r="H41" s="11" t="s">
        <v>148</v>
      </c>
    </row>
    <row r="42" spans="8:8" x14ac:dyDescent="0.35">
      <c r="H42" s="11" t="s">
        <v>79</v>
      </c>
    </row>
    <row r="43" spans="8:8" x14ac:dyDescent="0.35">
      <c r="H43" s="11" t="s">
        <v>80</v>
      </c>
    </row>
    <row r="44" spans="8:8" x14ac:dyDescent="0.35">
      <c r="H44" s="11" t="s">
        <v>149</v>
      </c>
    </row>
    <row r="45" spans="8:8" x14ac:dyDescent="0.35">
      <c r="H45" s="11" t="s">
        <v>81</v>
      </c>
    </row>
    <row r="46" spans="8:8" x14ac:dyDescent="0.35">
      <c r="H46" s="11" t="s">
        <v>82</v>
      </c>
    </row>
    <row r="47" spans="8:8" x14ac:dyDescent="0.35">
      <c r="H47" s="11" t="s">
        <v>83</v>
      </c>
    </row>
    <row r="48" spans="8:8" x14ac:dyDescent="0.35">
      <c r="H48" s="11" t="s">
        <v>84</v>
      </c>
    </row>
    <row r="49" spans="8:8" x14ac:dyDescent="0.35">
      <c r="H49" s="11" t="s">
        <v>85</v>
      </c>
    </row>
    <row r="50" spans="8:8" x14ac:dyDescent="0.35">
      <c r="H50" s="11" t="s">
        <v>86</v>
      </c>
    </row>
    <row r="51" spans="8:8" x14ac:dyDescent="0.35">
      <c r="H51" s="11" t="s">
        <v>87</v>
      </c>
    </row>
    <row r="52" spans="8:8" ht="15" thickBot="1" x14ac:dyDescent="0.4">
      <c r="H52" s="13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7265625" defaultRowHeight="14.5" x14ac:dyDescent="0.35"/>
  <cols>
    <col min="1" max="1" width="34.7265625" bestFit="1" customWidth="1"/>
    <col min="4" max="4" width="10.26953125" bestFit="1" customWidth="1"/>
  </cols>
  <sheetData>
    <row r="2" spans="1:6" x14ac:dyDescent="0.3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35">
      <c r="A3" s="225" t="s">
        <v>106</v>
      </c>
    </row>
    <row r="4" spans="1:6" x14ac:dyDescent="0.35">
      <c r="A4" s="226"/>
    </row>
    <row r="5" spans="1:6" x14ac:dyDescent="0.35">
      <c r="A5" s="6" t="s">
        <v>107</v>
      </c>
    </row>
    <row r="6" spans="1:6" x14ac:dyDescent="0.35">
      <c r="A6" s="6" t="s">
        <v>0</v>
      </c>
    </row>
    <row r="7" spans="1:6" x14ac:dyDescent="0.35">
      <c r="A7" s="7" t="s">
        <v>108</v>
      </c>
    </row>
    <row r="8" spans="1:6" x14ac:dyDescent="0.35">
      <c r="A8" s="7" t="s">
        <v>109</v>
      </c>
    </row>
    <row r="9" spans="1:6" x14ac:dyDescent="0.35">
      <c r="A9" s="6" t="s">
        <v>13</v>
      </c>
    </row>
    <row r="10" spans="1:6" x14ac:dyDescent="0.35">
      <c r="A10" s="7" t="s">
        <v>109</v>
      </c>
    </row>
    <row r="11" spans="1:6" x14ac:dyDescent="0.35">
      <c r="A11" s="6" t="s">
        <v>110</v>
      </c>
    </row>
    <row r="12" spans="1:6" x14ac:dyDescent="0.35">
      <c r="A12" s="6" t="s">
        <v>19</v>
      </c>
    </row>
    <row r="13" spans="1:6" x14ac:dyDescent="0.35">
      <c r="A13" s="7" t="s">
        <v>109</v>
      </c>
    </row>
    <row r="14" spans="1:6" x14ac:dyDescent="0.35">
      <c r="A14" s="6" t="s">
        <v>111</v>
      </c>
    </row>
    <row r="15" spans="1:6" x14ac:dyDescent="0.35">
      <c r="A15" s="7" t="s">
        <v>22</v>
      </c>
    </row>
    <row r="16" spans="1:6" x14ac:dyDescent="0.35">
      <c r="A16" s="7"/>
    </row>
    <row r="17" spans="1:1" x14ac:dyDescent="0.35">
      <c r="A17" s="7"/>
    </row>
    <row r="18" spans="1:1" x14ac:dyDescent="0.35">
      <c r="A18" s="6" t="s">
        <v>112</v>
      </c>
    </row>
    <row r="19" spans="1:1" x14ac:dyDescent="0.35">
      <c r="A19" s="6" t="s">
        <v>113</v>
      </c>
    </row>
    <row r="20" spans="1:1" x14ac:dyDescent="0.35">
      <c r="A20" s="6" t="s">
        <v>101</v>
      </c>
    </row>
    <row r="21" spans="1:1" x14ac:dyDescent="0.35">
      <c r="A21" s="8" t="s">
        <v>114</v>
      </c>
    </row>
    <row r="22" spans="1:1" x14ac:dyDescent="0.35">
      <c r="A22" s="8" t="s">
        <v>115</v>
      </c>
    </row>
    <row r="23" spans="1:1" x14ac:dyDescent="0.35">
      <c r="A23" s="7"/>
    </row>
    <row r="24" spans="1:1" x14ac:dyDescent="0.35">
      <c r="A24" s="6" t="s">
        <v>88</v>
      </c>
    </row>
    <row r="25" spans="1:1" x14ac:dyDescent="0.35">
      <c r="A25" s="7" t="s">
        <v>116</v>
      </c>
    </row>
    <row r="26" spans="1:1" x14ac:dyDescent="0.35">
      <c r="A26" s="7" t="s">
        <v>98</v>
      </c>
    </row>
    <row r="27" spans="1:1" x14ac:dyDescent="0.35">
      <c r="A27" s="9"/>
    </row>
    <row r="28" spans="1:1" x14ac:dyDescent="0.35">
      <c r="A28" s="9" t="s">
        <v>99</v>
      </c>
    </row>
    <row r="29" spans="1:1" x14ac:dyDescent="0.35">
      <c r="A29" s="6" t="s">
        <v>100</v>
      </c>
    </row>
    <row r="30" spans="1:1" x14ac:dyDescent="0.35">
      <c r="A30" s="6" t="s">
        <v>117</v>
      </c>
    </row>
    <row r="31" spans="1:1" x14ac:dyDescent="0.35">
      <c r="A31" s="7"/>
    </row>
    <row r="32" spans="1:1" x14ac:dyDescent="0.35">
      <c r="A32" s="7" t="s">
        <v>118</v>
      </c>
    </row>
    <row r="33" spans="1:1" x14ac:dyDescent="0.35">
      <c r="A33" s="7" t="s">
        <v>81</v>
      </c>
    </row>
    <row r="34" spans="1:1" x14ac:dyDescent="0.35">
      <c r="A34" s="7" t="s">
        <v>119</v>
      </c>
    </row>
    <row r="35" spans="1:1" x14ac:dyDescent="0.35">
      <c r="A35" s="7" t="s">
        <v>120</v>
      </c>
    </row>
    <row r="36" spans="1:1" x14ac:dyDescent="0.35">
      <c r="A36" s="7"/>
    </row>
    <row r="37" spans="1:1" x14ac:dyDescent="0.35">
      <c r="A37" s="6" t="s">
        <v>121</v>
      </c>
    </row>
    <row r="38" spans="1:1" x14ac:dyDescent="0.35">
      <c r="A38" s="6" t="s">
        <v>122</v>
      </c>
    </row>
    <row r="39" spans="1:1" x14ac:dyDescent="0.35">
      <c r="A39" s="7" t="s">
        <v>123</v>
      </c>
    </row>
    <row r="40" spans="1:1" x14ac:dyDescent="0.35">
      <c r="A40" s="7" t="s">
        <v>124</v>
      </c>
    </row>
    <row r="41" spans="1:1" x14ac:dyDescent="0.35">
      <c r="A41" s="7" t="s">
        <v>125</v>
      </c>
    </row>
    <row r="42" spans="1:1" x14ac:dyDescent="0.35">
      <c r="A42" s="7" t="s">
        <v>126</v>
      </c>
    </row>
    <row r="43" spans="1:1" x14ac:dyDescent="0.35">
      <c r="A43" s="7" t="s">
        <v>127</v>
      </c>
    </row>
    <row r="44" spans="1:1" x14ac:dyDescent="0.35">
      <c r="A44" s="7" t="s">
        <v>128</v>
      </c>
    </row>
    <row r="45" spans="1:1" x14ac:dyDescent="0.35">
      <c r="A45" s="7" t="s">
        <v>84</v>
      </c>
    </row>
    <row r="46" spans="1:1" x14ac:dyDescent="0.35">
      <c r="A46" s="7" t="s">
        <v>129</v>
      </c>
    </row>
    <row r="47" spans="1:1" x14ac:dyDescent="0.35">
      <c r="A47" s="7" t="s">
        <v>130</v>
      </c>
    </row>
    <row r="48" spans="1:1" x14ac:dyDescent="0.35">
      <c r="A48" s="7" t="s">
        <v>86</v>
      </c>
    </row>
    <row r="49" spans="1:1" x14ac:dyDescent="0.35">
      <c r="A49" s="7" t="s">
        <v>131</v>
      </c>
    </row>
    <row r="50" spans="1:1" x14ac:dyDescent="0.35">
      <c r="A50" s="7" t="s">
        <v>132</v>
      </c>
    </row>
    <row r="51" spans="1:1" x14ac:dyDescent="0.35">
      <c r="A51" s="7" t="s">
        <v>133</v>
      </c>
    </row>
    <row r="52" spans="1:1" x14ac:dyDescent="0.35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Ashwini Raj</cp:lastModifiedBy>
  <cp:lastPrinted>2022-06-29T12:01:35Z</cp:lastPrinted>
  <dcterms:created xsi:type="dcterms:W3CDTF">2021-01-13T15:05:52Z</dcterms:created>
  <dcterms:modified xsi:type="dcterms:W3CDTF">2026-06-04T12:08:27Z</dcterms:modified>
</cp:coreProperties>
</file>