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C13F03A-D265-4C1C-80C8-F3CDB567C68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Consolidated!$B$1:$Z$81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9" i="5" l="1"/>
  <c r="N69" i="5"/>
  <c r="M69" i="5"/>
  <c r="L69" i="5"/>
  <c r="P69" i="5"/>
  <c r="E60" i="5"/>
  <c r="P68" i="5"/>
  <c r="P70" i="5" s="1"/>
  <c r="P65" i="5"/>
  <c r="P64" i="5"/>
  <c r="S7" i="5" s="1"/>
  <c r="P13" i="5"/>
  <c r="P12" i="5"/>
  <c r="P59" i="5"/>
  <c r="P60" i="5"/>
  <c r="P61" i="5"/>
  <c r="P62" i="5"/>
  <c r="P63" i="5"/>
  <c r="P66" i="5"/>
  <c r="P67" i="5"/>
  <c r="P71" i="5"/>
  <c r="P72" i="5"/>
  <c r="H51" i="5"/>
  <c r="P37" i="5"/>
  <c r="P53" i="5" s="1"/>
  <c r="L72" i="5"/>
  <c r="M72" i="5"/>
  <c r="N72" i="5"/>
  <c r="O72" i="5"/>
  <c r="K72" i="5"/>
  <c r="K63" i="5"/>
  <c r="L63" i="5"/>
  <c r="M63" i="5"/>
  <c r="K62" i="5"/>
  <c r="L62" i="5"/>
  <c r="M62" i="5"/>
  <c r="K61" i="5"/>
  <c r="L61" i="5"/>
  <c r="M61" i="5"/>
  <c r="K60" i="5"/>
  <c r="L60" i="5"/>
  <c r="M60" i="5"/>
  <c r="K59" i="5"/>
  <c r="L59" i="5"/>
  <c r="M59" i="5"/>
  <c r="K66" i="5"/>
  <c r="L66" i="5"/>
  <c r="M66" i="5"/>
  <c r="N66" i="5"/>
  <c r="O66" i="5"/>
  <c r="N59" i="5"/>
  <c r="C48" i="5"/>
  <c r="C51" i="5" s="1"/>
  <c r="D48" i="5"/>
  <c r="D51" i="5" s="1"/>
  <c r="E48" i="5"/>
  <c r="E51" i="5" s="1"/>
  <c r="E50" i="5"/>
  <c r="G50" i="5"/>
  <c r="F50" i="5"/>
  <c r="D50" i="5"/>
  <c r="C50" i="5"/>
  <c r="H50" i="5"/>
  <c r="H48" i="5"/>
  <c r="P11" i="5"/>
  <c r="O53" i="5"/>
  <c r="O52" i="5"/>
  <c r="O37" i="5"/>
  <c r="O16" i="5"/>
  <c r="M6" i="5"/>
  <c r="N6" i="5"/>
  <c r="N37" i="5"/>
  <c r="K46" i="5"/>
  <c r="K37" i="5"/>
  <c r="C41" i="5"/>
  <c r="K11" i="5"/>
  <c r="D7" i="5"/>
  <c r="C21" i="5"/>
  <c r="C7" i="5"/>
  <c r="C12" i="5" s="1"/>
  <c r="H37" i="5"/>
  <c r="P46" i="5"/>
  <c r="P16" i="5"/>
  <c r="H28" i="5"/>
  <c r="H27" i="5"/>
  <c r="H5" i="5"/>
  <c r="G5" i="5"/>
  <c r="H6" i="5"/>
  <c r="H7" i="5"/>
  <c r="H12" i="5" s="1"/>
  <c r="P6" i="5"/>
  <c r="C20" i="5" l="1"/>
  <c r="C22" i="5" s="1"/>
  <c r="C15" i="5"/>
  <c r="H20" i="5"/>
  <c r="O68" i="5"/>
  <c r="H41" i="5"/>
  <c r="H43" i="5" s="1"/>
  <c r="G27" i="5"/>
  <c r="G6" i="5"/>
  <c r="C23" i="5" l="1"/>
  <c r="C24" i="5" s="1"/>
  <c r="H22" i="5"/>
  <c r="H23" i="5"/>
  <c r="H49" i="5"/>
  <c r="P27" i="5"/>
  <c r="O6" i="5"/>
  <c r="O60" i="5" s="1"/>
  <c r="O62" i="5" s="1"/>
  <c r="F42" i="5"/>
  <c r="O59" i="5"/>
  <c r="O61" i="5" s="1"/>
  <c r="O27" i="5"/>
  <c r="G48" i="5"/>
  <c r="G37" i="5"/>
  <c r="G28" i="5"/>
  <c r="F6" i="5"/>
  <c r="G7" i="5"/>
  <c r="O70" i="5" l="1"/>
  <c r="G12" i="5"/>
  <c r="P45" i="5"/>
  <c r="P52" i="5"/>
  <c r="H24" i="5"/>
  <c r="H15" i="5"/>
  <c r="O45" i="5"/>
  <c r="H13" i="5"/>
  <c r="F49" i="5"/>
  <c r="G49" i="5"/>
  <c r="G51" i="5" s="1"/>
  <c r="O46" i="5"/>
  <c r="O12" i="5" s="1"/>
  <c r="O11" i="5"/>
  <c r="O67" i="5" s="1"/>
  <c r="G41" i="5"/>
  <c r="G43" i="5" s="1"/>
  <c r="G15" i="5" l="1"/>
  <c r="O13" i="5"/>
  <c r="G20" i="5"/>
  <c r="O65" i="5"/>
  <c r="O63" i="5"/>
  <c r="N11" i="5"/>
  <c r="N53" i="5" s="1"/>
  <c r="L68" i="5"/>
  <c r="K68" i="5"/>
  <c r="N61" i="5" l="1"/>
  <c r="F48" i="5" l="1"/>
  <c r="M68" i="5" l="1"/>
  <c r="N68" i="5"/>
  <c r="I5" i="6" l="1"/>
  <c r="L6" i="5"/>
  <c r="K6" i="5"/>
  <c r="K53" i="5" s="1"/>
  <c r="L16" i="5"/>
  <c r="M16" i="5"/>
  <c r="I10" i="6" s="1"/>
  <c r="I39" i="6" s="1"/>
  <c r="B42" i="7" s="1"/>
  <c r="N16" i="5"/>
  <c r="K16" i="5"/>
  <c r="L27" i="5"/>
  <c r="M27" i="5"/>
  <c r="I11" i="6" s="1"/>
  <c r="N27" i="5"/>
  <c r="K27" i="5"/>
  <c r="C39" i="7"/>
  <c r="C28" i="7"/>
  <c r="B28" i="7"/>
  <c r="D49" i="5"/>
  <c r="C27" i="7" s="1"/>
  <c r="C49" i="5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E49" i="5"/>
  <c r="N46" i="5"/>
  <c r="M46" i="5"/>
  <c r="L46" i="5"/>
  <c r="F41" i="5"/>
  <c r="F43" i="5" s="1"/>
  <c r="E41" i="5"/>
  <c r="E43" i="5" s="1"/>
  <c r="D41" i="5"/>
  <c r="D43" i="5" s="1"/>
  <c r="C43" i="5"/>
  <c r="M37" i="5"/>
  <c r="L37" i="5"/>
  <c r="F37" i="5"/>
  <c r="E37" i="5"/>
  <c r="E38" i="5" s="1"/>
  <c r="D37" i="5"/>
  <c r="C37" i="5"/>
  <c r="C38" i="5" s="1"/>
  <c r="D33" i="5" s="1"/>
  <c r="F28" i="5"/>
  <c r="F27" i="5"/>
  <c r="E27" i="5"/>
  <c r="D27" i="5"/>
  <c r="M11" i="5"/>
  <c r="L11" i="5"/>
  <c r="K67" i="5"/>
  <c r="B49" i="7" s="1"/>
  <c r="F7" i="5"/>
  <c r="N70" i="5" s="1"/>
  <c r="E7" i="5"/>
  <c r="M70" i="5" s="1"/>
  <c r="L70" i="5"/>
  <c r="C46" i="7" s="1"/>
  <c r="K69" i="5"/>
  <c r="K70" i="5" s="1"/>
  <c r="B46" i="7" s="1"/>
  <c r="F5" i="5"/>
  <c r="E5" i="5"/>
  <c r="D5" i="5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N73" i="4"/>
  <c r="T72" i="4"/>
  <c r="S72" i="4"/>
  <c r="R72" i="4"/>
  <c r="Q72" i="4"/>
  <c r="P72" i="4"/>
  <c r="O72" i="4"/>
  <c r="N72" i="4"/>
  <c r="M72" i="4"/>
  <c r="T65" i="4"/>
  <c r="P65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J63" i="4" s="1"/>
  <c r="H60" i="4"/>
  <c r="G60" i="4"/>
  <c r="D60" i="4"/>
  <c r="C60" i="4"/>
  <c r="B60" i="4"/>
  <c r="J54" i="4"/>
  <c r="I54" i="4"/>
  <c r="H54" i="4"/>
  <c r="G54" i="4"/>
  <c r="D54" i="4"/>
  <c r="C54" i="4"/>
  <c r="J53" i="4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O41" i="4"/>
  <c r="N41" i="4"/>
  <c r="M41" i="4"/>
  <c r="I41" i="4"/>
  <c r="I40" i="4"/>
  <c r="I53" i="4" s="1"/>
  <c r="I39" i="4"/>
  <c r="J34" i="4"/>
  <c r="I34" i="4"/>
  <c r="H34" i="4"/>
  <c r="J33" i="4"/>
  <c r="I33" i="4"/>
  <c r="H33" i="4"/>
  <c r="G33" i="4"/>
  <c r="F33" i="4"/>
  <c r="E33" i="4"/>
  <c r="D33" i="4"/>
  <c r="C33" i="4"/>
  <c r="T29" i="4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T15" i="4"/>
  <c r="S15" i="4"/>
  <c r="R15" i="4"/>
  <c r="Q15" i="4"/>
  <c r="Q55" i="4" s="1"/>
  <c r="P15" i="4"/>
  <c r="O15" i="4"/>
  <c r="H13" i="4"/>
  <c r="H21" i="4" s="1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J7" i="4"/>
  <c r="I7" i="4"/>
  <c r="T75" i="4" s="1"/>
  <c r="H7" i="4"/>
  <c r="S74" i="4" s="1"/>
  <c r="G7" i="4"/>
  <c r="G13" i="4" s="1"/>
  <c r="F7" i="4"/>
  <c r="F13" i="4" s="1"/>
  <c r="F16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S63" i="4" s="1"/>
  <c r="S66" i="4" s="1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D38" i="5" l="1"/>
  <c r="K12" i="5"/>
  <c r="K52" i="5"/>
  <c r="K13" i="5" s="1"/>
  <c r="H63" i="4"/>
  <c r="K47" i="6"/>
  <c r="O76" i="4"/>
  <c r="B16" i="4"/>
  <c r="P56" i="4"/>
  <c r="I44" i="4"/>
  <c r="N60" i="5"/>
  <c r="N62" i="5" s="1"/>
  <c r="N12" i="5"/>
  <c r="M71" i="4"/>
  <c r="T49" i="4"/>
  <c r="J55" i="4"/>
  <c r="I13" i="4"/>
  <c r="I14" i="4" s="1"/>
  <c r="Q78" i="4"/>
  <c r="F38" i="5"/>
  <c r="L45" i="5"/>
  <c r="L52" i="5"/>
  <c r="L13" i="5" s="1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69" i="4" s="1"/>
  <c r="Q7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E12" i="5"/>
  <c r="E15" i="5" s="1"/>
  <c r="F51" i="5"/>
  <c r="L9" i="6"/>
  <c r="L38" i="6" s="1"/>
  <c r="N52" i="5"/>
  <c r="N13" i="5" s="1"/>
  <c r="L12" i="5"/>
  <c r="L67" i="5"/>
  <c r="C49" i="7" s="1"/>
  <c r="M12" i="5"/>
  <c r="M67" i="5"/>
  <c r="K45" i="5"/>
  <c r="M53" i="5"/>
  <c r="B13" i="7"/>
  <c r="N67" i="5"/>
  <c r="N45" i="5"/>
  <c r="O71" i="5" s="1"/>
  <c r="L53" i="5"/>
  <c r="I8" i="6"/>
  <c r="F12" i="5"/>
  <c r="I17" i="6"/>
  <c r="I20" i="6" s="1"/>
  <c r="C48" i="7"/>
  <c r="B18" i="7"/>
  <c r="B38" i="7" s="1"/>
  <c r="B45" i="7"/>
  <c r="B48" i="7"/>
  <c r="D12" i="5"/>
  <c r="G14" i="5" s="1"/>
  <c r="M45" i="5"/>
  <c r="C45" i="7"/>
  <c r="M52" i="5"/>
  <c r="M13" i="5" s="1"/>
  <c r="G13" i="5" l="1"/>
  <c r="F14" i="5"/>
  <c r="F15" i="5"/>
  <c r="L71" i="5"/>
  <c r="C47" i="7" s="1"/>
  <c r="K65" i="5"/>
  <c r="B41" i="7" s="1"/>
  <c r="G33" i="5"/>
  <c r="G38" i="5" s="1"/>
  <c r="H33" i="5" s="1"/>
  <c r="H38" i="5" s="1"/>
  <c r="E20" i="5"/>
  <c r="E22" i="5" s="1"/>
  <c r="H14" i="5"/>
  <c r="Q77" i="4"/>
  <c r="M65" i="5"/>
  <c r="K71" i="5"/>
  <c r="B47" i="7" s="1"/>
  <c r="K41" i="6"/>
  <c r="K40" i="6"/>
  <c r="K28" i="6"/>
  <c r="K30" i="6" s="1"/>
  <c r="K36" i="6" s="1"/>
  <c r="O77" i="4"/>
  <c r="C51" i="4"/>
  <c r="M68" i="4"/>
  <c r="B29" i="4"/>
  <c r="B25" i="4"/>
  <c r="N71" i="5"/>
  <c r="N65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N63" i="5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K64" i="5"/>
  <c r="B40" i="7" s="1"/>
  <c r="M71" i="5"/>
  <c r="L65" i="5"/>
  <c r="C41" i="7" s="1"/>
  <c r="D20" i="5"/>
  <c r="D15" i="5"/>
  <c r="E13" i="5"/>
  <c r="D13" i="5"/>
  <c r="F13" i="5"/>
  <c r="F20" i="5"/>
  <c r="E23" i="5" l="1"/>
  <c r="H25" i="5" s="1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D23" i="5"/>
  <c r="D24" i="5" s="1"/>
  <c r="D22" i="5"/>
  <c r="F23" i="5"/>
  <c r="N64" i="5" s="1"/>
  <c r="F22" i="5"/>
  <c r="E24" i="5" l="1"/>
  <c r="M64" i="5"/>
  <c r="H30" i="4"/>
  <c r="H31" i="4"/>
  <c r="I30" i="4"/>
  <c r="I31" i="4"/>
  <c r="J26" i="4"/>
  <c r="T68" i="4"/>
  <c r="J25" i="4"/>
  <c r="J29" i="4"/>
  <c r="D30" i="4"/>
  <c r="E30" i="4"/>
  <c r="L64" i="5"/>
  <c r="C40" i="7" s="1"/>
  <c r="F24" i="5"/>
  <c r="F25" i="5"/>
  <c r="J30" i="4" l="1"/>
  <c r="J31" i="4"/>
  <c r="G23" i="5"/>
  <c r="G22" i="5"/>
  <c r="O64" i="5" l="1"/>
  <c r="G25" i="5"/>
  <c r="G24" i="5"/>
</calcChain>
</file>

<file path=xl/sharedStrings.xml><?xml version="1.0" encoding="utf-8"?>
<sst xmlns="http://schemas.openxmlformats.org/spreadsheetml/2006/main" count="502" uniqueCount="230">
  <si>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</si>
  <si>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</si>
  <si>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</si>
  <si>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</si>
  <si>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</si>
  <si>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</si>
  <si>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</si>
  <si>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</si>
  <si>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</si>
  <si>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</si>
  <si>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</si>
  <si>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</si>
  <si>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</si>
  <si>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</si>
  <si>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</si>
  <si>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</si>
  <si>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</si>
  <si>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</si>
  <si>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</si>
  <si>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</si>
  <si>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</si>
  <si>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</si>
  <si>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</si>
  <si>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</si>
  <si>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</si>
  <si>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</si>
  <si>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</si>
  <si>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</si>
  <si>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</si>
  <si>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</si>
  <si>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</si>
  <si>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</si>
  <si>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</si>
  <si>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</si>
  <si>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</si>
  <si>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</si>
  <si>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</si>
  <si>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</si>
  <si>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</si>
  <si>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</si>
  <si>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</si>
  <si>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</si>
  <si>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</si>
  <si>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</si>
  <si>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</si>
  <si>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</si>
  <si>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</si>
  <si>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</si>
  <si>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</si>
  <si>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</si>
  <si>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</si>
  <si>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</si>
  <si>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</si>
  <si>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</si>
  <si>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</si>
  <si>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</si>
  <si>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</si>
  <si>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</si>
  <si>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</si>
  <si>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</si>
  <si>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</si>
  <si>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</si>
  <si>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</si>
  <si>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</si>
  <si>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</si>
  <si>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</si>
  <si>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</si>
  <si>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</si>
  <si>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</si>
  <si>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</si>
  <si>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</si>
  <si>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</si>
  <si>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</si>
  <si>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</si>
  <si>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</si>
  <si>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</si>
  <si>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</si>
  <si>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</si>
  <si>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</si>
  <si>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</si>
  <si>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</si>
  <si>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</si>
  <si>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</si>
  <si>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</si>
  <si>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</si>
  <si>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</si>
  <si>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</si>
  <si>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</si>
  <si>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</si>
  <si>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</si>
  <si>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</si>
  <si>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</si>
  <si>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</si>
  <si>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</si>
  <si>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</si>
  <si>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</si>
  <si>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</si>
  <si>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</si>
  <si>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</si>
  <si>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</si>
  <si>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</si>
  <si>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</si>
  <si>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</si>
  <si>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</si>
  <si>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</si>
  <si>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</si>
  <si>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</si>
  <si>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</si>
  <si>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</si>
  <si>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</si>
  <si>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</si>
  <si>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</si>
  <si>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</si>
  <si>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</si>
  <si>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</si>
  <si>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</si>
  <si>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</si>
  <si>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</si>
  <si>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</si>
  <si>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</si>
  <si>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</si>
  <si>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</si>
  <si>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</si>
  <si>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</si>
  <si>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</si>
  <si>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</si>
  <si>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</si>
  <si>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</si>
  <si>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</si>
  <si>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</si>
  <si>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</si>
  <si>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</si>
  <si>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</si>
  <si>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</si>
  <si>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</si>
  <si>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</si>
  <si>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</si>
  <si>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</si>
  <si>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</si>
  <si>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</si>
  <si>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</si>
  <si>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</si>
  <si>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</si>
  <si>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</si>
  <si>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</si>
  <si>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</si>
  <si>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</si>
  <si>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</si>
  <si>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</si>
  <si>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</si>
  <si>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</si>
  <si>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</si>
  <si>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</si>
  <si>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</si>
  <si>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</si>
  <si>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</si>
  <si>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</si>
  <si>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</si>
  <si>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</si>
  <si>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</si>
  <si>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</si>
  <si>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</si>
  <si>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</si>
  <si>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</si>
  <si>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</si>
  <si>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</si>
  <si>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</si>
  <si>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</si>
  <si>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</si>
  <si>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</si>
  <si>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</si>
  <si>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</si>
  <si>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</si>
  <si>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</si>
  <si>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</si>
  <si>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</si>
  <si>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</si>
  <si>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</si>
  <si>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</si>
  <si>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</si>
  <si>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</si>
  <si>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</si>
  <si>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</si>
  <si>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</si>
  <si>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</si>
  <si>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</si>
  <si>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</si>
  <si>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</si>
  <si>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</si>
  <si>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</si>
  <si>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</si>
  <si>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</si>
  <si>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</si>
  <si>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</si>
  <si>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</si>
  <si>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</si>
  <si>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</si>
  <si>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</si>
  <si>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</si>
  <si>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</si>
  <si>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</si>
  <si>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</si>
  <si>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</si>
  <si>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</si>
  <si>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</si>
  <si>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</si>
  <si>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</si>
  <si>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</si>
  <si>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</si>
  <si>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</si>
  <si>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</si>
  <si>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</t>
  </si>
  <si>
    <t>FY21
Consol</t>
  </si>
  <si>
    <t>H1-FY22</t>
  </si>
  <si>
    <t>CMP (As on 30.03.2021)</t>
  </si>
  <si>
    <t>NA</t>
  </si>
  <si>
    <t>FY22</t>
  </si>
  <si>
    <t>FY23</t>
  </si>
  <si>
    <t>FY24</t>
  </si>
  <si>
    <t>NON CURRENT LIABILITIES</t>
  </si>
  <si>
    <t xml:space="preserve">Operating Cash Flow </t>
  </si>
  <si>
    <t>Intangible Assets</t>
  </si>
  <si>
    <t>FY25</t>
  </si>
  <si>
    <t>FY26</t>
  </si>
  <si>
    <t>Finance Cost</t>
  </si>
  <si>
    <t>Network People Services Technologies Limited</t>
  </si>
  <si>
    <t>Changes in Inventories of Finished Goods, Work-In-Progress, and Stock-In-Trade</t>
  </si>
  <si>
    <t xml:space="preserve">Project Expense </t>
  </si>
  <si>
    <t>(i) Investments Inv</t>
  </si>
  <si>
    <t>Right of Use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</si>
</sst>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  <font>
      <b/>
      <sz val="12"/>
      <color theme="1" tint="4.9989318521683403E-2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6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7" fillId="0" borderId="1" xfId="0" applyFont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2" fontId="25" fillId="0" borderId="1" xfId="0" applyNumberFormat="1" applyFont="1" applyBorder="1"/>
    <xf numFmtId="2" fontId="27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0" fontId="26" fillId="14" borderId="6" xfId="0" applyFont="1" applyFill="1" applyBorder="1" applyAlignment="1">
      <alignment horizontal="center"/>
    </xf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172" fontId="23" fillId="14" borderId="1" xfId="2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2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6" fillId="0" borderId="1" xfId="1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3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14" borderId="11" xfId="0" applyFont="1" applyFill="1" applyBorder="1"/>
    <xf numFmtId="0" fontId="26" fillId="14" borderId="2" xfId="0" applyFont="1" applyFill="1" applyBorder="1" applyAlignment="1">
      <alignment horizontal="center"/>
    </xf>
    <xf numFmtId="169" fontId="23" fillId="0" borderId="1" xfId="2" applyNumberFormat="1" applyFont="1" applyFill="1" applyBorder="1" applyAlignment="1">
      <alignment horizontal="right"/>
    </xf>
    <xf numFmtId="169" fontId="29" fillId="0" borderId="1" xfId="2" applyNumberFormat="1" applyFont="1" applyFill="1" applyBorder="1" applyAlignment="1">
      <alignment horizontal="right"/>
    </xf>
    <xf numFmtId="3" fontId="29" fillId="0" borderId="1" xfId="2" applyNumberFormat="1" applyFont="1" applyFill="1" applyBorder="1" applyAlignment="1">
      <alignment horizontal="right"/>
    </xf>
    <xf numFmtId="170" fontId="30" fillId="0" borderId="1" xfId="2" applyNumberFormat="1" applyFont="1" applyFill="1" applyBorder="1" applyAlignment="1">
      <alignment horizontal="right"/>
    </xf>
    <xf numFmtId="170" fontId="29" fillId="0" borderId="1" xfId="2" applyNumberFormat="1" applyFont="1" applyFill="1" applyBorder="1"/>
    <xf numFmtId="0" fontId="25" fillId="14" borderId="4" xfId="0" applyFont="1" applyFill="1" applyBorder="1" applyAlignment="1">
      <alignment horizontal="center"/>
    </xf>
    <xf numFmtId="170" fontId="30" fillId="0" borderId="9" xfId="2" applyNumberFormat="1" applyFont="1" applyFill="1" applyBorder="1" applyAlignment="1">
      <alignment horizontal="right"/>
    </xf>
    <xf numFmtId="4" fontId="0" fillId="0" borderId="1" xfId="0" applyNumberFormat="1" applyBorder="1"/>
    <xf numFmtId="165" fontId="27" fillId="14" borderId="1" xfId="3" applyNumberFormat="1" applyFont="1" applyFill="1" applyBorder="1"/>
    <xf numFmtId="170" fontId="23" fillId="14" borderId="1" xfId="2" applyNumberFormat="1" applyFont="1" applyFill="1" applyBorder="1"/>
    <xf numFmtId="170" fontId="26" fillId="14" borderId="1" xfId="2" applyNumberFormat="1" applyFont="1" applyFill="1" applyBorder="1"/>
    <xf numFmtId="170" fontId="26" fillId="14" borderId="9" xfId="2" applyNumberFormat="1" applyFont="1" applyFill="1" applyBorder="1"/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73" fontId="23" fillId="0" borderId="1" xfId="2" applyNumberFormat="1" applyFont="1" applyBorder="1"/>
    <xf numFmtId="173" fontId="25" fillId="14" borderId="1" xfId="2" applyNumberFormat="1" applyFont="1" applyFill="1" applyBorder="1"/>
    <xf numFmtId="173" fontId="25" fillId="0" borderId="1" xfId="2" applyNumberFormat="1" applyFont="1" applyFill="1" applyBorder="1"/>
    <xf numFmtId="173" fontId="27" fillId="0" borderId="1" xfId="2" applyNumberFormat="1" applyFont="1" applyFill="1" applyBorder="1"/>
    <xf numFmtId="173" fontId="23" fillId="0" borderId="1" xfId="2" applyNumberFormat="1" applyFont="1" applyBorder="1" applyAlignment="1">
      <alignment horizontal="center"/>
    </xf>
    <xf numFmtId="173" fontId="23" fillId="7" borderId="1" xfId="2" applyNumberFormat="1" applyFont="1" applyFill="1" applyBorder="1"/>
    <xf numFmtId="173" fontId="23" fillId="7" borderId="1" xfId="2" applyNumberFormat="1" applyFont="1" applyFill="1" applyBorder="1" applyAlignment="1">
      <alignment horizontal="center" vertical="center"/>
    </xf>
    <xf numFmtId="173" fontId="23" fillId="0" borderId="1" xfId="2" applyNumberFormat="1" applyFont="1" applyBorder="1" applyAlignment="1">
      <alignment horizontal="center" vertical="center"/>
    </xf>
    <xf numFmtId="173" fontId="25" fillId="14" borderId="9" xfId="2" applyNumberFormat="1" applyFont="1" applyFill="1" applyBorder="1"/>
    <xf numFmtId="174" fontId="23" fillId="0" borderId="1" xfId="2" applyNumberFormat="1" applyFont="1" applyFill="1" applyBorder="1"/>
    <xf numFmtId="174" fontId="29" fillId="0" borderId="1" xfId="2" applyNumberFormat="1" applyFont="1" applyFill="1" applyBorder="1"/>
    <xf numFmtId="0" fontId="24" fillId="0" borderId="0" xfId="0" applyFont="1" applyAlignment="1">
      <alignment horizontal="center"/>
    </xf>
    <xf numFmtId="170" fontId="26" fillId="0" borderId="16" xfId="2" applyNumberFormat="1" applyFont="1" applyFill="1" applyBorder="1"/>
    <xf numFmtId="170" fontId="23" fillId="0" borderId="16" xfId="2" applyNumberFormat="1" applyFont="1" applyFill="1" applyBorder="1"/>
    <xf numFmtId="170" fontId="26" fillId="0" borderId="17" xfId="2" applyNumberFormat="1" applyFont="1" applyFill="1" applyBorder="1"/>
    <xf numFmtId="0" fontId="25" fillId="14" borderId="22" xfId="0" applyFont="1" applyFill="1" applyBorder="1" applyAlignment="1">
      <alignment horizontal="center"/>
    </xf>
    <xf numFmtId="3" fontId="29" fillId="0" borderId="16" xfId="2" applyNumberFormat="1" applyFont="1" applyFill="1" applyBorder="1" applyAlignment="1">
      <alignment horizontal="right"/>
    </xf>
    <xf numFmtId="174" fontId="29" fillId="0" borderId="16" xfId="2" applyNumberFormat="1" applyFont="1" applyFill="1" applyBorder="1"/>
    <xf numFmtId="170" fontId="29" fillId="0" borderId="16" xfId="2" applyNumberFormat="1" applyFont="1" applyFill="1" applyBorder="1"/>
    <xf numFmtId="173" fontId="25" fillId="14" borderId="12" xfId="2" applyNumberFormat="1" applyFont="1" applyFill="1" applyBorder="1"/>
    <xf numFmtId="0" fontId="26" fillId="0" borderId="2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43" fontId="0" fillId="0" borderId="0" xfId="0" applyNumberFormat="1"/>
    <xf numFmtId="4" fontId="0" fillId="0" borderId="1" xfId="0" applyNumberFormat="1" applyBorder="1" applyAlignment="1">
      <alignment horizontal="right"/>
    </xf>
    <xf numFmtId="4" fontId="27" fillId="14" borderId="1" xfId="3" applyNumberFormat="1" applyFont="1" applyFill="1" applyBorder="1" applyAlignment="1">
      <alignment horizontal="right"/>
    </xf>
    <xf numFmtId="4" fontId="23" fillId="14" borderId="1" xfId="2" applyNumberFormat="1" applyFont="1" applyFill="1" applyBorder="1" applyAlignment="1">
      <alignment horizontal="right"/>
    </xf>
    <xf numFmtId="0" fontId="15" fillId="14" borderId="4" xfId="0" applyFont="1" applyFill="1" applyBorder="1" applyAlignment="1">
      <alignment horizontal="center"/>
    </xf>
    <xf numFmtId="10" fontId="26" fillId="0" borderId="0" xfId="1" applyNumberFormat="1" applyFont="1"/>
    <xf numFmtId="10" fontId="23" fillId="7" borderId="29" xfId="0" applyNumberFormat="1" applyFont="1" applyFill="1" applyBorder="1"/>
    <xf numFmtId="170" fontId="27" fillId="0" borderId="1" xfId="2" applyNumberFormat="1" applyFont="1" applyFill="1" applyBorder="1" applyAlignment="1">
      <alignment horizontal="right" vertical="center"/>
    </xf>
    <xf numFmtId="173" fontId="29" fillId="0" borderId="1" xfId="2" applyNumberFormat="1" applyFont="1" applyFill="1" applyBorder="1"/>
    <xf numFmtId="43" fontId="23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2" fontId="30" fillId="0" borderId="9" xfId="2" applyNumberFormat="1" applyFont="1" applyFill="1" applyBorder="1" applyAlignment="1">
      <alignment horizontal="right"/>
    </xf>
    <xf numFmtId="2" fontId="31" fillId="0" borderId="9" xfId="2" applyNumberFormat="1" applyFont="1" applyFill="1" applyBorder="1" applyAlignment="1">
      <alignment horizontal="right"/>
    </xf>
    <xf numFmtId="2" fontId="31" fillId="0" borderId="17" xfId="2" applyNumberFormat="1" applyFont="1" applyFill="1" applyBorder="1" applyAlignment="1">
      <alignment horizontal="right"/>
    </xf>
    <xf numFmtId="2" fontId="26" fillId="0" borderId="0" xfId="0" applyNumberFormat="1" applyFont="1" applyAlignment="1">
      <alignment horizontal="center"/>
    </xf>
    <xf numFmtId="173" fontId="26" fillId="0" borderId="0" xfId="0" applyNumberFormat="1" applyFont="1"/>
    <xf numFmtId="10" fontId="0" fillId="0" borderId="0" xfId="1" applyNumberFormat="1" applyFont="1"/>
    <xf numFmtId="0" fontId="26" fillId="0" borderId="15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6" fillId="13" borderId="39" xfId="0" applyFont="1" applyFill="1" applyBorder="1" applyAlignment="1">
      <alignment horizontal="center" vertical="center"/>
    </xf>
    <xf numFmtId="0" fontId="26" fillId="13" borderId="35" xfId="0" applyFont="1" applyFill="1" applyBorder="1" applyAlignment="1">
      <alignment horizontal="center" vertical="center"/>
    </xf>
    <xf numFmtId="0" fontId="26" fillId="13" borderId="42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/>
    </xf>
    <xf numFmtId="10" fontId="0" fillId="0" borderId="0" xfId="0" applyNumberFormat="1"/>
    <xf numFmtId="172" fontId="23" fillId="7" borderId="29" xfId="2" applyNumberFormat="1" applyFont="1" applyFill="1" applyBorder="1"/>
    <xf numFmtId="10" fontId="23" fillId="7" borderId="38" xfId="1" applyNumberFormat="1" applyFont="1" applyFill="1" applyBorder="1"/>
    <xf numFmtId="0" fontId="0" fillId="7" borderId="0" xfId="0" applyFill="1"/>
    <xf numFmtId="169" fontId="23" fillId="7" borderId="29" xfId="2" applyNumberFormat="1" applyFont="1" applyFill="1" applyBorder="1"/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411" t="s">
        <v>175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3"/>
    </row>
    <row r="2" spans="1:21" ht="15" customHeight="1">
      <c r="A2" s="408" t="s">
        <v>98</v>
      </c>
      <c r="B2" s="409"/>
      <c r="C2" s="409"/>
      <c r="D2" s="409"/>
      <c r="E2" s="409"/>
      <c r="F2" s="409"/>
      <c r="G2" s="409"/>
      <c r="H2" s="409"/>
      <c r="I2" s="410"/>
      <c r="J2" s="150"/>
      <c r="K2" s="19"/>
      <c r="L2" s="408" t="s">
        <v>99</v>
      </c>
      <c r="M2" s="409"/>
      <c r="N2" s="409"/>
      <c r="O2" s="409"/>
      <c r="P2" s="409"/>
      <c r="Q2" s="409"/>
      <c r="R2" s="409"/>
      <c r="S2" s="409"/>
      <c r="T2" s="410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210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210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180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169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181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182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405" t="s">
        <v>102</v>
      </c>
      <c r="B37" s="406"/>
      <c r="C37" s="406"/>
      <c r="D37" s="406"/>
      <c r="E37" s="406"/>
      <c r="F37" s="406"/>
      <c r="G37" s="406"/>
      <c r="H37" s="407"/>
      <c r="I37" s="243"/>
      <c r="J37" s="238"/>
      <c r="K37" s="19"/>
      <c r="L37" s="40" t="s">
        <v>184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210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172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210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172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210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05" t="s">
        <v>100</v>
      </c>
      <c r="M59" s="406"/>
      <c r="N59" s="406"/>
      <c r="O59" s="406"/>
      <c r="P59" s="406"/>
      <c r="Q59" s="406"/>
      <c r="R59" s="406"/>
      <c r="S59" s="407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210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1048574"/>
  <sheetViews>
    <sheetView showGridLines="0" tabSelected="1" topLeftCell="H1" zoomScale="80" zoomScaleNormal="80" zoomScaleSheetLayoutView="85" workbookViewId="0">
      <selection activeCell="B51" sqref="A51:XFD51"/>
    </sheetView>
  </sheetViews>
  <sheetFormatPr defaultColWidth="9.109375" defaultRowHeight="15" customHeight="1"/>
  <cols>
    <col min="1" max="1" width="3.5546875" style="269" customWidth="1"/>
    <col min="2" max="2" width="80.44140625" style="277" customWidth="1"/>
    <col min="3" max="4" width="14.109375" style="277" bestFit="1" customWidth="1"/>
    <col min="5" max="5" width="16.5546875" style="277" bestFit="1" customWidth="1"/>
    <col min="6" max="8" width="13.88671875" style="277" customWidth="1"/>
    <col min="9" max="9" width="4" style="269" customWidth="1"/>
    <col min="10" max="10" width="43.44140625" style="269" customWidth="1"/>
    <col min="11" max="11" width="19.88671875" style="269" customWidth="1"/>
    <col min="12" max="12" width="17.5546875" style="269" customWidth="1"/>
    <col min="13" max="13" width="15.5546875" style="277" customWidth="1"/>
    <col min="14" max="16" width="17.6640625" style="277" customWidth="1"/>
    <col min="17" max="17" width="10.33203125" style="277" customWidth="1"/>
    <col min="18" max="19" width="12.5546875" style="277" customWidth="1"/>
    <col min="20" max="20" width="11.88671875" style="277" customWidth="1"/>
    <col min="21" max="21" width="13.109375" style="277" customWidth="1"/>
    <col min="22" max="22" width="14.88671875" style="277" customWidth="1"/>
    <col min="23" max="23" width="13.109375" style="277" hidden="1" customWidth="1"/>
    <col min="24" max="24" width="8.88671875" style="277" hidden="1" customWidth="1"/>
    <col min="25" max="25" width="13.5546875" style="277" customWidth="1"/>
    <col min="26" max="26" width="13" style="277" customWidth="1"/>
    <col min="27" max="29" width="15.109375" style="277" customWidth="1"/>
    <col min="30" max="30" width="13.109375" style="277" customWidth="1"/>
    <col min="31" max="78" width="9.109375" style="277"/>
    <col min="79" max="16384" width="9.109375" style="269"/>
  </cols>
  <sheetData>
    <row r="1" spans="1:25" customFormat="1" ht="15" customHeight="1" thickBot="1">
      <c r="A1" s="389"/>
      <c r="B1" s="400" t="s">
        <v>225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2"/>
      <c r="Q1" s="294"/>
      <c r="R1" s="294"/>
      <c r="S1" s="294"/>
      <c r="T1" s="294"/>
      <c r="U1" s="294"/>
      <c r="V1" s="294"/>
      <c r="W1" s="294"/>
      <c r="X1" s="294"/>
      <c r="Y1" s="294"/>
    </row>
    <row r="2" spans="1:25" customFormat="1" ht="15" customHeight="1">
      <c r="A2" s="389"/>
      <c r="B2" s="395" t="s">
        <v>103</v>
      </c>
      <c r="C2" s="396"/>
      <c r="D2" s="396"/>
      <c r="E2" s="396"/>
      <c r="F2" s="396"/>
      <c r="G2" s="396"/>
      <c r="H2" s="356"/>
      <c r="I2" s="272"/>
      <c r="J2" s="403" t="s">
        <v>104</v>
      </c>
      <c r="K2" s="404"/>
      <c r="L2" s="404"/>
      <c r="M2" s="404"/>
      <c r="N2" s="404"/>
      <c r="O2" s="404"/>
      <c r="P2" s="404"/>
      <c r="Q2" s="295"/>
      <c r="R2" s="295"/>
      <c r="S2" s="295"/>
      <c r="T2" s="295"/>
      <c r="U2" s="295"/>
    </row>
    <row r="3" spans="1:25" customFormat="1" ht="15" customHeight="1">
      <c r="A3" s="389"/>
      <c r="B3" s="284" t="s">
        <v>0</v>
      </c>
      <c r="C3" s="286" t="s">
        <v>211</v>
      </c>
      <c r="D3" s="286" t="s">
        <v>216</v>
      </c>
      <c r="E3" s="286" t="s">
        <v>217</v>
      </c>
      <c r="F3" s="286" t="s">
        <v>218</v>
      </c>
      <c r="G3" s="286" t="s">
        <v>222</v>
      </c>
      <c r="H3" s="286" t="s">
        <v>223</v>
      </c>
      <c r="I3" s="272"/>
      <c r="J3" s="284" t="s">
        <v>0</v>
      </c>
      <c r="K3" s="286" t="s">
        <v>211</v>
      </c>
      <c r="L3" s="286" t="s">
        <v>216</v>
      </c>
      <c r="M3" s="286" t="s">
        <v>217</v>
      </c>
      <c r="N3" s="286" t="s">
        <v>218</v>
      </c>
      <c r="O3" s="286" t="s">
        <v>222</v>
      </c>
      <c r="P3" s="286" t="s">
        <v>223</v>
      </c>
    </row>
    <row r="4" spans="1:25" customFormat="1" ht="15" customHeight="1">
      <c r="A4" s="389"/>
      <c r="B4" s="278" t="s">
        <v>1</v>
      </c>
      <c r="C4" s="317">
        <v>153.44</v>
      </c>
      <c r="D4" s="317">
        <v>192.36199999999999</v>
      </c>
      <c r="E4" s="317">
        <v>408.42399999999998</v>
      </c>
      <c r="F4" s="317">
        <v>1275.5219999999999</v>
      </c>
      <c r="G4" s="317">
        <v>1732.1</v>
      </c>
      <c r="H4" s="317">
        <v>1949</v>
      </c>
      <c r="I4" s="273"/>
      <c r="J4" s="279" t="s">
        <v>36</v>
      </c>
      <c r="K4" s="345">
        <v>45</v>
      </c>
      <c r="L4" s="345">
        <v>64.62</v>
      </c>
      <c r="M4" s="345">
        <v>64.62</v>
      </c>
      <c r="N4" s="345">
        <v>193.86</v>
      </c>
      <c r="O4" s="345">
        <v>193.9</v>
      </c>
      <c r="P4" s="345">
        <v>208.5</v>
      </c>
    </row>
    <row r="5" spans="1:25" customFormat="1" ht="15" customHeight="1">
      <c r="A5" s="389"/>
      <c r="B5" s="312" t="s">
        <v>2</v>
      </c>
      <c r="C5" s="325" t="s">
        <v>215</v>
      </c>
      <c r="D5" s="313">
        <f>(D4/C4-1)</f>
        <v>0.25366266944734095</v>
      </c>
      <c r="E5" s="313">
        <f>(E4/D4-1)</f>
        <v>1.1232052068495855</v>
      </c>
      <c r="F5" s="313">
        <f>(F4/E4-1)</f>
        <v>2.1230339059408849</v>
      </c>
      <c r="G5" s="313">
        <f>(G4/F4-1)</f>
        <v>0.35795384164287247</v>
      </c>
      <c r="H5" s="313">
        <f>(H4/G4-1)</f>
        <v>0.12522371687546907</v>
      </c>
      <c r="I5" s="274"/>
      <c r="J5" s="279" t="s">
        <v>37</v>
      </c>
      <c r="K5" s="345">
        <v>22.3</v>
      </c>
      <c r="L5" s="345">
        <v>156.46899999999999</v>
      </c>
      <c r="M5" s="345">
        <v>221.714</v>
      </c>
      <c r="N5" s="345">
        <v>382.065</v>
      </c>
      <c r="O5" s="345">
        <v>843.2</v>
      </c>
      <c r="P5" s="345">
        <v>4196</v>
      </c>
    </row>
    <row r="6" spans="1:25" customFormat="1" ht="15.6">
      <c r="A6" s="389"/>
      <c r="B6" s="314" t="s">
        <v>108</v>
      </c>
      <c r="C6" s="325" t="s">
        <v>215</v>
      </c>
      <c r="D6" s="325" t="s">
        <v>215</v>
      </c>
      <c r="E6" s="325" t="s">
        <v>215</v>
      </c>
      <c r="F6" s="325">
        <f>+((F4/C4)^(1/3)-1)</f>
        <v>1.0257372832996756</v>
      </c>
      <c r="G6" s="325">
        <f>+((G4/D4)^(1/3)-1)</f>
        <v>1.080420985723733</v>
      </c>
      <c r="H6" s="325">
        <f>+((H4/E4)^(1/3)-1)</f>
        <v>0.68357910961960178</v>
      </c>
      <c r="I6" s="274"/>
      <c r="J6" s="287" t="s">
        <v>38</v>
      </c>
      <c r="K6" s="346">
        <f t="shared" ref="K6:O6" si="0">(K4+K5)</f>
        <v>67.3</v>
      </c>
      <c r="L6" s="346">
        <f t="shared" si="0"/>
        <v>221.089</v>
      </c>
      <c r="M6" s="346">
        <f>(M4+M5)</f>
        <v>286.334</v>
      </c>
      <c r="N6" s="346">
        <f>(N4+N5)</f>
        <v>575.92499999999995</v>
      </c>
      <c r="O6" s="346">
        <f t="shared" si="0"/>
        <v>1037.1000000000001</v>
      </c>
      <c r="P6" s="346">
        <f>(P4+P5)</f>
        <v>4404.5</v>
      </c>
    </row>
    <row r="7" spans="1:25" customFormat="1" ht="15" customHeight="1">
      <c r="A7" s="389"/>
      <c r="B7" s="278" t="s">
        <v>3</v>
      </c>
      <c r="C7" s="318">
        <f t="shared" ref="C7:H7" si="1">SUM(C8:C11)</f>
        <v>123.944</v>
      </c>
      <c r="D7" s="318">
        <f t="shared" si="1"/>
        <v>157.43299999999999</v>
      </c>
      <c r="E7" s="318">
        <f t="shared" si="1"/>
        <v>288.01400000000001</v>
      </c>
      <c r="F7" s="318">
        <f t="shared" si="1"/>
        <v>864.78099999999995</v>
      </c>
      <c r="G7" s="318">
        <f t="shared" si="1"/>
        <v>1130.5</v>
      </c>
      <c r="H7" s="318">
        <f t="shared" si="1"/>
        <v>1442.6</v>
      </c>
      <c r="I7" s="275"/>
      <c r="J7" s="279" t="s">
        <v>39</v>
      </c>
      <c r="K7" s="345">
        <v>1E-3</v>
      </c>
      <c r="L7" s="345">
        <v>1E-3</v>
      </c>
      <c r="M7" s="345">
        <v>1E-3</v>
      </c>
      <c r="N7" s="345">
        <v>7.5170000000000003</v>
      </c>
      <c r="O7" s="345">
        <v>7.6</v>
      </c>
      <c r="P7" s="345">
        <v>7.5</v>
      </c>
      <c r="S7" s="421">
        <f>P64</f>
        <v>0.15002940311673038</v>
      </c>
    </row>
    <row r="8" spans="1:25" customFormat="1" ht="15" customHeight="1">
      <c r="A8" s="389"/>
      <c r="B8" s="279" t="s">
        <v>226</v>
      </c>
      <c r="C8" s="376">
        <v>16.754000000000001</v>
      </c>
      <c r="D8" s="376">
        <v>-12.814</v>
      </c>
      <c r="E8" s="270">
        <v>24.988</v>
      </c>
      <c r="F8" s="270">
        <v>48.246000000000002</v>
      </c>
      <c r="G8" s="270">
        <v>4.4000000000000004</v>
      </c>
      <c r="H8" s="270">
        <v>20.399999999999999</v>
      </c>
      <c r="I8" s="275"/>
      <c r="J8" s="279" t="s">
        <v>40</v>
      </c>
      <c r="K8" s="345"/>
      <c r="L8" s="345">
        <v>0</v>
      </c>
      <c r="M8" s="345">
        <v>1.375</v>
      </c>
      <c r="N8" s="345">
        <v>0.65</v>
      </c>
      <c r="O8" s="345">
        <v>0</v>
      </c>
      <c r="P8" s="345">
        <v>0</v>
      </c>
    </row>
    <row r="9" spans="1:25" customFormat="1" ht="15" customHeight="1">
      <c r="A9" s="389"/>
      <c r="B9" s="279" t="s">
        <v>227</v>
      </c>
      <c r="C9" s="376">
        <v>37.993000000000002</v>
      </c>
      <c r="D9" s="376">
        <v>87.35</v>
      </c>
      <c r="E9" s="270">
        <v>100.31399999999999</v>
      </c>
      <c r="F9" s="270">
        <v>419.57</v>
      </c>
      <c r="G9" s="270">
        <v>562.29999999999995</v>
      </c>
      <c r="H9" s="270">
        <v>877.8</v>
      </c>
      <c r="I9" s="275"/>
      <c r="J9" s="279"/>
      <c r="K9" s="345"/>
      <c r="L9" s="345"/>
      <c r="M9" s="345"/>
      <c r="N9" s="345"/>
      <c r="O9" s="345"/>
      <c r="P9" s="345"/>
    </row>
    <row r="10" spans="1:25" customFormat="1" ht="15" customHeight="1">
      <c r="A10" s="389"/>
      <c r="B10" s="279" t="s">
        <v>67</v>
      </c>
      <c r="C10" s="276">
        <v>58.289000000000001</v>
      </c>
      <c r="D10" s="276">
        <v>65.787000000000006</v>
      </c>
      <c r="E10" s="276">
        <v>127.29900000000001</v>
      </c>
      <c r="F10" s="276">
        <v>313.04000000000002</v>
      </c>
      <c r="G10" s="276">
        <v>445.3</v>
      </c>
      <c r="H10" s="276">
        <v>410.4</v>
      </c>
      <c r="I10" s="274"/>
      <c r="J10" s="279" t="s">
        <v>41</v>
      </c>
      <c r="K10" s="345">
        <v>3.798</v>
      </c>
      <c r="L10" s="345">
        <v>0</v>
      </c>
      <c r="M10" s="345">
        <v>0.67</v>
      </c>
      <c r="N10" s="345">
        <v>0.72499999999999998</v>
      </c>
      <c r="O10" s="345">
        <v>31.3</v>
      </c>
      <c r="P10" s="345">
        <v>55.2</v>
      </c>
    </row>
    <row r="11" spans="1:25" customFormat="1" ht="15" customHeight="1">
      <c r="A11" s="389"/>
      <c r="B11" s="279" t="s">
        <v>68</v>
      </c>
      <c r="C11" s="276">
        <v>10.907999999999999</v>
      </c>
      <c r="D11" s="276">
        <v>17.11</v>
      </c>
      <c r="E11" s="276">
        <v>35.412999999999997</v>
      </c>
      <c r="F11" s="276">
        <v>83.924999999999997</v>
      </c>
      <c r="G11" s="276">
        <v>118.5</v>
      </c>
      <c r="H11" s="276">
        <v>134</v>
      </c>
      <c r="I11" s="274"/>
      <c r="J11" s="319" t="s">
        <v>42</v>
      </c>
      <c r="K11" s="347">
        <f t="shared" ref="K11:P11" si="2">(K8+K10)</f>
        <v>3.798</v>
      </c>
      <c r="L11" s="347">
        <f t="shared" si="2"/>
        <v>0</v>
      </c>
      <c r="M11" s="347">
        <f t="shared" si="2"/>
        <v>2.0449999999999999</v>
      </c>
      <c r="N11" s="347">
        <f t="shared" si="2"/>
        <v>1.375</v>
      </c>
      <c r="O11" s="347">
        <f t="shared" si="2"/>
        <v>31.3</v>
      </c>
      <c r="P11" s="347">
        <f t="shared" si="2"/>
        <v>55.2</v>
      </c>
    </row>
    <row r="12" spans="1:25" customFormat="1" ht="15" customHeight="1">
      <c r="A12" s="389"/>
      <c r="B12" s="287" t="s">
        <v>4</v>
      </c>
      <c r="C12" s="288">
        <f>(C4-C7)</f>
        <v>29.495999999999995</v>
      </c>
      <c r="D12" s="288">
        <f t="shared" ref="D12:F12" si="3">(D4-D7)</f>
        <v>34.929000000000002</v>
      </c>
      <c r="E12" s="288">
        <f t="shared" si="3"/>
        <v>120.40999999999997</v>
      </c>
      <c r="F12" s="288">
        <f t="shared" si="3"/>
        <v>410.74099999999999</v>
      </c>
      <c r="G12" s="288">
        <f>(G4-G7)</f>
        <v>601.59999999999991</v>
      </c>
      <c r="H12" s="288">
        <f>(H4-H7)</f>
        <v>506.40000000000009</v>
      </c>
      <c r="I12" s="274"/>
      <c r="J12" s="319" t="s">
        <v>43</v>
      </c>
      <c r="K12" s="347">
        <f t="shared" ref="K12:P12" si="4">K6+K46</f>
        <v>74.02</v>
      </c>
      <c r="L12" s="347">
        <f t="shared" si="4"/>
        <v>230.97200000000001</v>
      </c>
      <c r="M12" s="347">
        <f t="shared" si="4"/>
        <v>299.90199999999999</v>
      </c>
      <c r="N12" s="347">
        <f t="shared" si="4"/>
        <v>593.84899999999993</v>
      </c>
      <c r="O12" s="347">
        <f t="shared" si="4"/>
        <v>1089.3000000000002</v>
      </c>
      <c r="P12" s="347">
        <f>P6+P46</f>
        <v>4476.3</v>
      </c>
    </row>
    <row r="13" spans="1:25" customFormat="1" ht="15" customHeight="1">
      <c r="A13" s="389"/>
      <c r="B13" s="312" t="s">
        <v>2</v>
      </c>
      <c r="C13" s="325" t="s">
        <v>215</v>
      </c>
      <c r="D13" s="325">
        <f>(D12/C12-1)</f>
        <v>0.18419446704637954</v>
      </c>
      <c r="E13" s="325">
        <f>(E12/D12-1)</f>
        <v>2.4472787654957187</v>
      </c>
      <c r="F13" s="325">
        <f>(F12/E12-1)</f>
        <v>2.4111867785067691</v>
      </c>
      <c r="G13" s="325">
        <f>(G12/F12-1)</f>
        <v>0.46466995016324142</v>
      </c>
      <c r="H13" s="325">
        <f>(H12/G12-1)</f>
        <v>-0.15824468085106358</v>
      </c>
      <c r="I13" s="274"/>
      <c r="J13" s="319" t="s">
        <v>43</v>
      </c>
      <c r="K13" s="347">
        <f t="shared" ref="K13:P13" si="5">K52-K37</f>
        <v>77.819000000000003</v>
      </c>
      <c r="L13" s="347">
        <f t="shared" si="5"/>
        <v>230.97300000000001</v>
      </c>
      <c r="M13" s="347">
        <f t="shared" si="5"/>
        <v>300.57299999999998</v>
      </c>
      <c r="N13" s="347">
        <f t="shared" si="5"/>
        <v>602.09100000000012</v>
      </c>
      <c r="O13" s="347">
        <f t="shared" si="5"/>
        <v>1127.8</v>
      </c>
      <c r="P13" s="347">
        <f>P52-P37</f>
        <v>4539</v>
      </c>
    </row>
    <row r="14" spans="1:25" customFormat="1" ht="15" customHeight="1">
      <c r="A14" s="389"/>
      <c r="B14" s="314" t="s">
        <v>108</v>
      </c>
      <c r="C14" s="325" t="s">
        <v>215</v>
      </c>
      <c r="D14" s="325" t="s">
        <v>215</v>
      </c>
      <c r="E14" s="325" t="s">
        <v>215</v>
      </c>
      <c r="F14" s="325">
        <f>+((F12/C12)^(1/3)-1)</f>
        <v>1.4058486929816363</v>
      </c>
      <c r="G14" s="325">
        <f>+((G12/D12)^(1/3)-1)</f>
        <v>1.5825013574292188</v>
      </c>
      <c r="H14" s="325">
        <f>+((H12/E12)^(1/3)-1)</f>
        <v>0.61414934246468045</v>
      </c>
      <c r="I14" s="274"/>
      <c r="J14" s="279"/>
      <c r="K14" s="345"/>
      <c r="L14" s="345"/>
      <c r="M14" s="345"/>
      <c r="N14" s="345"/>
      <c r="O14" s="345"/>
      <c r="P14" s="345"/>
    </row>
    <row r="15" spans="1:25" customFormat="1" ht="15" customHeight="1">
      <c r="A15" s="389"/>
      <c r="B15" s="315" t="s">
        <v>5</v>
      </c>
      <c r="C15" s="316">
        <f>(C12/C4)</f>
        <v>0.1922314911366006</v>
      </c>
      <c r="D15" s="316">
        <f t="shared" ref="D15:H15" si="6">(D12/D4)</f>
        <v>0.18157952194300331</v>
      </c>
      <c r="E15" s="316">
        <f>(E12/E4)</f>
        <v>0.29481617142969063</v>
      </c>
      <c r="F15" s="316">
        <f>(F12/F4)</f>
        <v>0.32201796597785065</v>
      </c>
      <c r="G15" s="316">
        <f>(G12/G4)</f>
        <v>0.34732405750245365</v>
      </c>
      <c r="H15" s="316">
        <f t="shared" si="6"/>
        <v>0.25982555156490511</v>
      </c>
      <c r="I15" s="274"/>
      <c r="J15" s="279" t="s">
        <v>87</v>
      </c>
      <c r="K15" s="348"/>
      <c r="L15" s="348"/>
      <c r="M15" s="348"/>
      <c r="N15" s="348"/>
      <c r="O15" s="348"/>
      <c r="P15" s="348"/>
    </row>
    <row r="16" spans="1:25" customFormat="1" ht="15" customHeight="1">
      <c r="A16" s="389"/>
      <c r="B16" s="279" t="s">
        <v>6</v>
      </c>
      <c r="C16" s="276">
        <v>0.63900000000000001</v>
      </c>
      <c r="D16" s="276">
        <v>3.262</v>
      </c>
      <c r="E16" s="276">
        <v>3.3879999999999999</v>
      </c>
      <c r="F16" s="276">
        <v>26.423999999999999</v>
      </c>
      <c r="G16" s="276">
        <v>74.099999999999994</v>
      </c>
      <c r="H16" s="276">
        <v>144.9</v>
      </c>
      <c r="I16" s="274"/>
      <c r="J16" s="287" t="s">
        <v>101</v>
      </c>
      <c r="K16" s="346">
        <f t="shared" ref="K16:P16" si="7">SUM(K17:K25)</f>
        <v>71.263999999999996</v>
      </c>
      <c r="L16" s="346">
        <f t="shared" si="7"/>
        <v>117.77900000000001</v>
      </c>
      <c r="M16" s="346">
        <f t="shared" si="7"/>
        <v>141.39499999999998</v>
      </c>
      <c r="N16" s="346">
        <f t="shared" si="7"/>
        <v>100.995</v>
      </c>
      <c r="O16" s="346">
        <f t="shared" si="7"/>
        <v>169.1</v>
      </c>
      <c r="P16" s="346">
        <f t="shared" si="7"/>
        <v>641.80000000000007</v>
      </c>
    </row>
    <row r="17" spans="1:19" customFormat="1" ht="15" customHeight="1">
      <c r="A17" s="389"/>
      <c r="B17" s="279" t="s">
        <v>7</v>
      </c>
      <c r="C17" s="276">
        <v>15.185</v>
      </c>
      <c r="D17" s="276">
        <v>17.838000000000001</v>
      </c>
      <c r="E17" s="276">
        <v>36.295999999999999</v>
      </c>
      <c r="F17" s="276">
        <v>82.995000000000005</v>
      </c>
      <c r="G17" s="276">
        <v>68.8</v>
      </c>
      <c r="H17" s="276">
        <v>91.6</v>
      </c>
      <c r="I17" s="274"/>
      <c r="J17" s="279" t="s">
        <v>96</v>
      </c>
      <c r="K17" s="345">
        <v>7.9080000000000004</v>
      </c>
      <c r="L17" s="345">
        <v>8.2490000000000006</v>
      </c>
      <c r="M17" s="345">
        <v>14.731999999999999</v>
      </c>
      <c r="N17" s="345">
        <v>31.196000000000002</v>
      </c>
      <c r="O17" s="345">
        <v>51.2</v>
      </c>
      <c r="P17" s="345">
        <v>70.2</v>
      </c>
      <c r="R17" s="369"/>
    </row>
    <row r="18" spans="1:19" customFormat="1" ht="15" customHeight="1">
      <c r="A18" s="389"/>
      <c r="B18" s="279"/>
      <c r="C18" s="276"/>
      <c r="D18" s="276"/>
      <c r="E18" s="276"/>
      <c r="F18" s="276"/>
      <c r="G18" s="276"/>
      <c r="H18" s="276"/>
      <c r="I18" s="274"/>
      <c r="J18" s="279" t="s">
        <v>229</v>
      </c>
      <c r="K18" s="345"/>
      <c r="L18" s="345"/>
      <c r="M18" s="345"/>
      <c r="N18" s="345"/>
      <c r="O18" s="345">
        <v>61.5</v>
      </c>
      <c r="P18" s="345">
        <v>76.7</v>
      </c>
      <c r="R18" s="369"/>
    </row>
    <row r="19" spans="1:19" customFormat="1" ht="15" customHeight="1">
      <c r="A19" s="389"/>
      <c r="B19" s="279" t="s">
        <v>224</v>
      </c>
      <c r="C19" s="276">
        <v>0.51700000000000002</v>
      </c>
      <c r="D19" s="276">
        <v>0.54500000000000004</v>
      </c>
      <c r="E19" s="276">
        <v>0.104</v>
      </c>
      <c r="F19" s="276">
        <v>0.253</v>
      </c>
      <c r="G19" s="276">
        <v>3.4</v>
      </c>
      <c r="H19" s="276">
        <v>9.1</v>
      </c>
      <c r="I19" s="274"/>
      <c r="J19" s="279" t="s">
        <v>221</v>
      </c>
      <c r="K19" s="345">
        <v>18.963999999999999</v>
      </c>
      <c r="L19" s="345">
        <v>34.725000000000001</v>
      </c>
      <c r="M19" s="345">
        <v>77.822999999999993</v>
      </c>
      <c r="N19" s="345">
        <v>38.246000000000002</v>
      </c>
      <c r="O19" s="345">
        <v>12.8</v>
      </c>
      <c r="P19" s="345">
        <v>148.4</v>
      </c>
    </row>
    <row r="20" spans="1:19" customFormat="1" ht="15" customHeight="1">
      <c r="A20" s="389"/>
      <c r="B20" s="287" t="s">
        <v>10</v>
      </c>
      <c r="C20" s="288">
        <f>(C12+C16-C17-C19)</f>
        <v>14.432999999999995</v>
      </c>
      <c r="D20" s="288">
        <f t="shared" ref="D20:G20" si="8">(D12+D16-D17-D19)</f>
        <v>19.808</v>
      </c>
      <c r="E20" s="288">
        <f t="shared" si="8"/>
        <v>87.397999999999982</v>
      </c>
      <c r="F20" s="288">
        <f t="shared" si="8"/>
        <v>353.91699999999997</v>
      </c>
      <c r="G20" s="288">
        <f t="shared" si="8"/>
        <v>603.5</v>
      </c>
      <c r="H20" s="288">
        <f>(H12+H16-H17-H19)</f>
        <v>550.6</v>
      </c>
      <c r="I20" s="274"/>
      <c r="J20" s="279" t="s">
        <v>166</v>
      </c>
      <c r="K20" s="345">
        <v>39.152999999999999</v>
      </c>
      <c r="L20" s="345">
        <v>63.225000000000001</v>
      </c>
      <c r="M20" s="345">
        <v>38.033000000000001</v>
      </c>
      <c r="N20" s="345">
        <v>0</v>
      </c>
      <c r="O20" s="345">
        <v>7.2</v>
      </c>
      <c r="P20" s="345">
        <v>254.8</v>
      </c>
    </row>
    <row r="21" spans="1:19" customFormat="1" ht="15" customHeight="1">
      <c r="A21" s="389"/>
      <c r="B21" s="279" t="s">
        <v>11</v>
      </c>
      <c r="C21" s="276">
        <f>4.484-0.852</f>
        <v>3.6320000000000001</v>
      </c>
      <c r="D21" s="276">
        <v>4.8479999999999999</v>
      </c>
      <c r="E21" s="276">
        <v>22.155000000000001</v>
      </c>
      <c r="F21" s="276">
        <v>86.724999999999994</v>
      </c>
      <c r="G21" s="276">
        <v>151.5</v>
      </c>
      <c r="H21" s="276">
        <v>142.4</v>
      </c>
      <c r="I21" s="274"/>
      <c r="J21" s="279" t="s">
        <v>92</v>
      </c>
      <c r="K21" s="345"/>
      <c r="L21" s="345"/>
      <c r="M21" s="345"/>
      <c r="N21" s="345"/>
      <c r="O21" s="345"/>
      <c r="P21" s="345"/>
      <c r="S21" s="369"/>
    </row>
    <row r="22" spans="1:19" customFormat="1" ht="15" customHeight="1">
      <c r="A22" s="389"/>
      <c r="B22" s="312" t="s">
        <v>12</v>
      </c>
      <c r="C22" s="313">
        <f>(C21/C20)</f>
        <v>0.25164553453890398</v>
      </c>
      <c r="D22" s="313">
        <f t="shared" ref="D22:G22" si="9">(D21/D20)</f>
        <v>0.24474959612277866</v>
      </c>
      <c r="E22" s="313">
        <f t="shared" si="9"/>
        <v>0.25349550332959569</v>
      </c>
      <c r="F22" s="313">
        <f t="shared" si="9"/>
        <v>0.24504332936818521</v>
      </c>
      <c r="G22" s="313">
        <f t="shared" si="9"/>
        <v>0.25103562551781278</v>
      </c>
      <c r="H22" s="313">
        <f>(H21/H20)</f>
        <v>0.25862695241554667</v>
      </c>
      <c r="I22" s="274"/>
      <c r="J22" s="279" t="s">
        <v>167</v>
      </c>
      <c r="K22" s="345">
        <v>2.6150000000000002</v>
      </c>
      <c r="L22" s="345">
        <v>8.782</v>
      </c>
      <c r="M22" s="345">
        <v>7.6769999999999996</v>
      </c>
      <c r="N22" s="345">
        <v>18.09</v>
      </c>
      <c r="O22" s="345">
        <v>2.9</v>
      </c>
      <c r="P22" s="345">
        <v>7.7</v>
      </c>
      <c r="R22" s="385"/>
    </row>
    <row r="23" spans="1:19" customFormat="1" ht="15" customHeight="1">
      <c r="A23" s="389"/>
      <c r="B23" s="289" t="s">
        <v>13</v>
      </c>
      <c r="C23" s="288">
        <f t="shared" ref="C23:H23" si="10">(C20-C21)</f>
        <v>10.800999999999995</v>
      </c>
      <c r="D23" s="288">
        <f t="shared" si="10"/>
        <v>14.96</v>
      </c>
      <c r="E23" s="288">
        <f t="shared" si="10"/>
        <v>65.242999999999981</v>
      </c>
      <c r="F23" s="288">
        <f t="shared" si="10"/>
        <v>267.19200000000001</v>
      </c>
      <c r="G23" s="288">
        <f t="shared" si="10"/>
        <v>452</v>
      </c>
      <c r="H23" s="288">
        <f t="shared" si="10"/>
        <v>408.20000000000005</v>
      </c>
      <c r="I23" s="274"/>
      <c r="J23" s="279" t="s">
        <v>168</v>
      </c>
      <c r="K23" s="345"/>
      <c r="L23" s="345"/>
      <c r="M23" s="345"/>
      <c r="N23" s="345"/>
      <c r="O23" s="345">
        <v>12.4</v>
      </c>
      <c r="P23" s="345">
        <v>69.8</v>
      </c>
    </row>
    <row r="24" spans="1:19" customFormat="1" ht="15" customHeight="1">
      <c r="A24" s="389"/>
      <c r="B24" s="315" t="s">
        <v>80</v>
      </c>
      <c r="C24" s="320">
        <f t="shared" ref="C24:H24" si="11">C23/(C4)</f>
        <v>7.0392335766423328E-2</v>
      </c>
      <c r="D24" s="320">
        <f t="shared" si="11"/>
        <v>7.7770037741341849E-2</v>
      </c>
      <c r="E24" s="320">
        <f t="shared" si="11"/>
        <v>0.15974330597614239</v>
      </c>
      <c r="F24" s="320">
        <f t="shared" si="11"/>
        <v>0.20947659076048866</v>
      </c>
      <c r="G24" s="320">
        <f t="shared" si="11"/>
        <v>0.26095491022458289</v>
      </c>
      <c r="H24" s="320">
        <f t="shared" si="11"/>
        <v>0.20944073884043102</v>
      </c>
      <c r="I24" s="274"/>
      <c r="J24" s="279" t="s">
        <v>169</v>
      </c>
      <c r="K24" s="345">
        <v>2.6240000000000001</v>
      </c>
      <c r="L24" s="345">
        <v>2.798</v>
      </c>
      <c r="M24" s="349">
        <v>3.13</v>
      </c>
      <c r="N24" s="349">
        <v>13.462999999999999</v>
      </c>
      <c r="O24" s="349">
        <v>19</v>
      </c>
      <c r="P24" s="349">
        <v>12</v>
      </c>
    </row>
    <row r="25" spans="1:19" customFormat="1" ht="15" customHeight="1">
      <c r="A25" s="389"/>
      <c r="B25" s="314" t="s">
        <v>108</v>
      </c>
      <c r="C25" s="313"/>
      <c r="D25" s="313"/>
      <c r="E25" s="313"/>
      <c r="F25" s="313">
        <f>+((F23/C23)^(1/3)-1)</f>
        <v>1.9137558707796565</v>
      </c>
      <c r="G25" s="313">
        <f>+((G23/D23)^(1/3)-1)</f>
        <v>2.1146000083560521</v>
      </c>
      <c r="H25" s="313">
        <f>+((H23/E23)^(1/3)-1)</f>
        <v>0.84266488310717835</v>
      </c>
      <c r="I25" s="274"/>
      <c r="J25" s="279" t="s">
        <v>93</v>
      </c>
      <c r="K25" s="345">
        <v>0</v>
      </c>
      <c r="L25" s="345">
        <v>0</v>
      </c>
      <c r="M25" s="350">
        <v>0</v>
      </c>
      <c r="N25" s="350"/>
      <c r="O25" s="350">
        <v>2.1</v>
      </c>
      <c r="P25" s="350">
        <v>2.2000000000000002</v>
      </c>
    </row>
    <row r="26" spans="1:19" customFormat="1" ht="15" customHeight="1">
      <c r="A26" s="389"/>
      <c r="B26" s="278" t="s">
        <v>16</v>
      </c>
      <c r="C26" s="281">
        <v>2.4</v>
      </c>
      <c r="D26" s="281">
        <v>2.56</v>
      </c>
      <c r="E26" s="281">
        <v>10.1</v>
      </c>
      <c r="F26" s="281">
        <v>13.76</v>
      </c>
      <c r="G26" s="281">
        <v>23.27</v>
      </c>
      <c r="H26" s="281">
        <v>20.58</v>
      </c>
      <c r="I26" s="274"/>
      <c r="J26" s="279"/>
      <c r="K26" s="345"/>
      <c r="L26" s="345"/>
      <c r="M26" s="350"/>
      <c r="N26" s="350"/>
      <c r="O26" s="350"/>
      <c r="P26" s="350"/>
    </row>
    <row r="27" spans="1:19" customFormat="1" ht="15" customHeight="1">
      <c r="A27" s="389"/>
      <c r="B27" s="321" t="s">
        <v>2</v>
      </c>
      <c r="C27" s="326" t="s">
        <v>215</v>
      </c>
      <c r="D27" s="326">
        <f>(D26/C26-1)</f>
        <v>6.6666666666666652E-2</v>
      </c>
      <c r="E27" s="326">
        <f>(E26/D26-1)</f>
        <v>2.9453125</v>
      </c>
      <c r="F27" s="326">
        <f>(F26/E26-1)</f>
        <v>0.36237623762376248</v>
      </c>
      <c r="G27" s="326">
        <f>(G26/F26-1)</f>
        <v>0.69113372093023262</v>
      </c>
      <c r="H27" s="326">
        <f>(H26/G26-1)</f>
        <v>-0.11559948431456812</v>
      </c>
      <c r="I27" s="274"/>
      <c r="J27" s="287" t="s">
        <v>44</v>
      </c>
      <c r="K27" s="346">
        <f t="shared" ref="K27:P27" si="12">SUM(K28:K35)</f>
        <v>93.926000000000016</v>
      </c>
      <c r="L27" s="346">
        <f t="shared" si="12"/>
        <v>185.83799999999999</v>
      </c>
      <c r="M27" s="346">
        <f t="shared" si="12"/>
        <v>249.27699999999999</v>
      </c>
      <c r="N27" s="346">
        <f t="shared" si="12"/>
        <v>668.08300000000008</v>
      </c>
      <c r="O27" s="346">
        <f t="shared" si="12"/>
        <v>1290.4000000000001</v>
      </c>
      <c r="P27" s="346">
        <f t="shared" si="12"/>
        <v>4440.8</v>
      </c>
    </row>
    <row r="28" spans="1:19" customFormat="1" ht="15" customHeight="1" thickBot="1">
      <c r="A28" s="389"/>
      <c r="B28" s="290" t="s">
        <v>108</v>
      </c>
      <c r="C28" s="327" t="s">
        <v>215</v>
      </c>
      <c r="D28" s="327" t="s">
        <v>215</v>
      </c>
      <c r="E28" s="327" t="s">
        <v>215</v>
      </c>
      <c r="F28" s="327">
        <f>+((F26/C26)^(1/3)-1)</f>
        <v>0.78979131940241687</v>
      </c>
      <c r="G28" s="327">
        <f>+((G26/D26)^(1/3)-1)</f>
        <v>1.0869824933000416</v>
      </c>
      <c r="H28" s="327">
        <f>+((H26/E26)^(1/3)-1)</f>
        <v>0.26777251522006917</v>
      </c>
      <c r="I28" s="274"/>
      <c r="J28" s="279" t="s">
        <v>92</v>
      </c>
      <c r="K28" s="345"/>
      <c r="L28" s="345"/>
      <c r="M28" s="345"/>
      <c r="N28" s="345"/>
      <c r="O28" s="345"/>
      <c r="P28" s="345"/>
    </row>
    <row r="29" spans="1:19" customFormat="1" ht="15" customHeight="1">
      <c r="A29" s="389"/>
      <c r="B29" s="390"/>
      <c r="C29" s="391"/>
      <c r="D29" s="391"/>
      <c r="E29" s="389"/>
      <c r="F29" s="392"/>
      <c r="G29" s="277"/>
      <c r="H29" s="277"/>
      <c r="I29" s="274"/>
      <c r="J29" s="279" t="s">
        <v>228</v>
      </c>
      <c r="K29" s="345">
        <v>5.5579999999999998</v>
      </c>
      <c r="L29" s="345">
        <v>27.344999999999999</v>
      </c>
      <c r="M29" s="351">
        <v>29.858000000000001</v>
      </c>
      <c r="N29" s="351">
        <v>6.3840000000000003</v>
      </c>
      <c r="O29" s="351">
        <v>0.7</v>
      </c>
      <c r="P29" s="351">
        <v>8.8000000000000007</v>
      </c>
      <c r="R29" s="369"/>
    </row>
    <row r="30" spans="1:19" customFormat="1" ht="15" customHeight="1" thickBot="1">
      <c r="A30" s="389"/>
      <c r="B30" s="393"/>
      <c r="C30" s="389"/>
      <c r="D30" s="389"/>
      <c r="E30" s="389"/>
      <c r="F30" s="392"/>
      <c r="G30" s="343"/>
      <c r="H30" s="343"/>
      <c r="I30" s="274"/>
      <c r="J30" s="279" t="s">
        <v>160</v>
      </c>
      <c r="K30" s="345">
        <v>73.688000000000002</v>
      </c>
      <c r="L30" s="345">
        <v>50.017000000000003</v>
      </c>
      <c r="M30" s="345">
        <v>8.98</v>
      </c>
      <c r="N30" s="345">
        <v>9.8209999999999997</v>
      </c>
      <c r="O30" s="345">
        <v>318.39999999999998</v>
      </c>
      <c r="P30" s="345">
        <v>1043.2</v>
      </c>
    </row>
    <row r="31" spans="1:19" customFormat="1" ht="15" customHeight="1" thickBot="1">
      <c r="A31" s="389"/>
      <c r="B31" s="397" t="s">
        <v>102</v>
      </c>
      <c r="C31" s="398"/>
      <c r="D31" s="398"/>
      <c r="E31" s="398"/>
      <c r="F31" s="398"/>
      <c r="G31" s="398"/>
      <c r="H31" s="399"/>
      <c r="I31" s="274"/>
      <c r="J31" s="279" t="s">
        <v>157</v>
      </c>
      <c r="K31" s="345">
        <v>4.516</v>
      </c>
      <c r="L31" s="345">
        <v>9.75</v>
      </c>
      <c r="M31" s="345">
        <v>193.40899999999999</v>
      </c>
      <c r="N31" s="345">
        <v>633.26800000000003</v>
      </c>
      <c r="O31" s="345">
        <v>693.1</v>
      </c>
      <c r="P31" s="345">
        <v>2773.8</v>
      </c>
    </row>
    <row r="32" spans="1:19" customFormat="1" ht="15" customHeight="1">
      <c r="A32" s="389"/>
      <c r="B32" s="329" t="s">
        <v>0</v>
      </c>
      <c r="C32" s="330" t="s">
        <v>211</v>
      </c>
      <c r="D32" s="330" t="s">
        <v>216</v>
      </c>
      <c r="E32" s="330" t="s">
        <v>217</v>
      </c>
      <c r="F32" s="330" t="s">
        <v>218</v>
      </c>
      <c r="G32" s="330" t="s">
        <v>222</v>
      </c>
      <c r="H32" s="373" t="s">
        <v>223</v>
      </c>
      <c r="I32" s="274"/>
      <c r="J32" s="279" t="s">
        <v>158</v>
      </c>
      <c r="K32" s="345"/>
      <c r="L32" s="345"/>
      <c r="M32" s="352" t="s">
        <v>209</v>
      </c>
      <c r="N32" s="352" t="s">
        <v>209</v>
      </c>
      <c r="O32" s="352">
        <v>251.1</v>
      </c>
      <c r="P32" s="352">
        <v>320</v>
      </c>
    </row>
    <row r="33" spans="1:16" customFormat="1" ht="15" customHeight="1">
      <c r="A33" s="389"/>
      <c r="B33" s="278" t="s">
        <v>17</v>
      </c>
      <c r="C33" s="282">
        <v>3.4350000000000001</v>
      </c>
      <c r="D33" s="282">
        <f>C38</f>
        <v>4.5160000000000009</v>
      </c>
      <c r="E33" s="282">
        <v>9.75</v>
      </c>
      <c r="F33" s="282">
        <v>74.697999999999993</v>
      </c>
      <c r="G33" s="282">
        <f>F38</f>
        <v>250.88400000000001</v>
      </c>
      <c r="H33" s="282">
        <f>G38</f>
        <v>693.12300000000005</v>
      </c>
      <c r="I33" s="274"/>
      <c r="J33" s="279" t="s">
        <v>170</v>
      </c>
      <c r="K33" s="345">
        <v>5.9050000000000002</v>
      </c>
      <c r="L33" s="345">
        <v>8.1129999999999995</v>
      </c>
      <c r="M33" s="352">
        <v>7.5170000000000003</v>
      </c>
      <c r="N33" s="352">
        <v>3.7829999999999999</v>
      </c>
      <c r="O33" s="352" t="s">
        <v>209</v>
      </c>
      <c r="P33" s="352">
        <v>0</v>
      </c>
    </row>
    <row r="34" spans="1:16" customFormat="1" ht="15" customHeight="1">
      <c r="A34" s="389"/>
      <c r="B34" s="279" t="s">
        <v>18</v>
      </c>
      <c r="C34" s="271">
        <v>23.324999999999999</v>
      </c>
      <c r="D34" s="271">
        <v>-74.393000000000001</v>
      </c>
      <c r="E34" s="283">
        <v>239.042</v>
      </c>
      <c r="F34" s="283">
        <v>509.71100000000001</v>
      </c>
      <c r="G34" s="283">
        <v>290.63600000000002</v>
      </c>
      <c r="H34" s="283">
        <v>-454.3</v>
      </c>
      <c r="I34" s="274"/>
      <c r="J34" s="279" t="s">
        <v>171</v>
      </c>
      <c r="K34" s="345"/>
      <c r="L34" s="345"/>
      <c r="M34" s="352" t="s">
        <v>209</v>
      </c>
      <c r="N34" s="352" t="s">
        <v>209</v>
      </c>
      <c r="O34" s="352">
        <v>4.7</v>
      </c>
      <c r="P34" s="352">
        <v>13.1</v>
      </c>
    </row>
    <row r="35" spans="1:16" customFormat="1" ht="15" customHeight="1">
      <c r="A35" s="389"/>
      <c r="B35" s="279" t="s">
        <v>79</v>
      </c>
      <c r="C35" s="271">
        <v>-25.524999999999999</v>
      </c>
      <c r="D35" s="271">
        <v>-54.86</v>
      </c>
      <c r="E35" s="283">
        <v>-57.323999999999998</v>
      </c>
      <c r="F35" s="283">
        <v>-330.90199999999999</v>
      </c>
      <c r="G35" s="283">
        <v>84.135000000000005</v>
      </c>
      <c r="H35" s="283">
        <v>-421.6</v>
      </c>
      <c r="I35" s="274"/>
      <c r="J35" s="279" t="s">
        <v>97</v>
      </c>
      <c r="K35" s="345">
        <v>4.2590000000000003</v>
      </c>
      <c r="L35" s="345">
        <v>90.613</v>
      </c>
      <c r="M35" s="345">
        <v>9.5129999999999999</v>
      </c>
      <c r="N35" s="345">
        <v>14.827</v>
      </c>
      <c r="O35" s="345">
        <v>22.4</v>
      </c>
      <c r="P35" s="345">
        <v>281.89999999999998</v>
      </c>
    </row>
    <row r="36" spans="1:16" customFormat="1" ht="15" customHeight="1">
      <c r="A36" s="389"/>
      <c r="B36" s="279" t="s">
        <v>19</v>
      </c>
      <c r="C36" s="271">
        <v>3.2810000000000001</v>
      </c>
      <c r="D36" s="283">
        <v>134.48699999999999</v>
      </c>
      <c r="E36" s="283">
        <v>1.9410000000000001</v>
      </c>
      <c r="F36" s="283">
        <v>-2.6230000000000002</v>
      </c>
      <c r="G36" s="283">
        <v>67.468000000000004</v>
      </c>
      <c r="H36" s="283">
        <v>2956.6</v>
      </c>
      <c r="I36" s="274"/>
      <c r="J36" s="279"/>
      <c r="K36" s="345"/>
      <c r="L36" s="345"/>
      <c r="M36" s="350"/>
      <c r="N36" s="350"/>
      <c r="O36" s="350"/>
      <c r="P36" s="350"/>
    </row>
    <row r="37" spans="1:16" customFormat="1" ht="15" customHeight="1">
      <c r="A37" s="389"/>
      <c r="B37" s="291" t="s">
        <v>20</v>
      </c>
      <c r="C37" s="341">
        <f t="shared" ref="C37:G37" si="13">C34+C35+C36</f>
        <v>1.0810000000000008</v>
      </c>
      <c r="D37" s="341">
        <f t="shared" si="13"/>
        <v>5.2340000000000089</v>
      </c>
      <c r="E37" s="341">
        <f t="shared" si="13"/>
        <v>183.65900000000002</v>
      </c>
      <c r="F37" s="341">
        <f t="shared" si="13"/>
        <v>176.18600000000004</v>
      </c>
      <c r="G37" s="341">
        <f t="shared" si="13"/>
        <v>442.23900000000003</v>
      </c>
      <c r="H37" s="341">
        <f>H34+H35+H36</f>
        <v>2080.6999999999998</v>
      </c>
      <c r="I37" s="272"/>
      <c r="J37" s="287" t="s">
        <v>46</v>
      </c>
      <c r="K37" s="346">
        <f>SUM(K38:K43)</f>
        <v>87.370999999999995</v>
      </c>
      <c r="L37" s="346">
        <f t="shared" ref="L37:M37" si="14">SUM(L38:L43)</f>
        <v>72.644000000000005</v>
      </c>
      <c r="M37" s="346">
        <f t="shared" si="14"/>
        <v>90.09899999999999</v>
      </c>
      <c r="N37" s="346">
        <f>SUM(N38:N43)</f>
        <v>166.98699999999999</v>
      </c>
      <c r="O37" s="346">
        <f>SUM(O38:O43)</f>
        <v>331.7</v>
      </c>
      <c r="P37" s="346">
        <f>SUM(P38:P43)</f>
        <v>543.6</v>
      </c>
    </row>
    <row r="38" spans="1:16" customFormat="1" ht="15" customHeight="1" thickBot="1">
      <c r="A38" s="389"/>
      <c r="B38" s="292" t="s">
        <v>72</v>
      </c>
      <c r="C38" s="342">
        <f t="shared" ref="C38:G38" si="15">C33+C37</f>
        <v>4.5160000000000009</v>
      </c>
      <c r="D38" s="342">
        <f t="shared" si="15"/>
        <v>9.7500000000000107</v>
      </c>
      <c r="E38" s="342">
        <f t="shared" si="15"/>
        <v>193.40900000000002</v>
      </c>
      <c r="F38" s="342">
        <f t="shared" si="15"/>
        <v>250.88400000000001</v>
      </c>
      <c r="G38" s="342">
        <f t="shared" si="15"/>
        <v>693.12300000000005</v>
      </c>
      <c r="H38" s="342">
        <f>H33+H37</f>
        <v>2773.8229999999999</v>
      </c>
      <c r="I38" s="272"/>
      <c r="J38" s="279" t="s">
        <v>172</v>
      </c>
      <c r="K38" s="345">
        <v>0</v>
      </c>
      <c r="L38" s="345">
        <v>0</v>
      </c>
      <c r="M38" s="345">
        <v>0</v>
      </c>
      <c r="N38" s="345">
        <v>0</v>
      </c>
      <c r="O38" s="345">
        <v>20.9</v>
      </c>
      <c r="P38" s="345">
        <v>24.3</v>
      </c>
    </row>
    <row r="39" spans="1:16" customFormat="1" ht="15" customHeight="1" thickBot="1">
      <c r="A39" s="389"/>
      <c r="B39" s="394"/>
      <c r="C39" s="394"/>
      <c r="D39" s="394"/>
      <c r="E39" s="394"/>
      <c r="F39" s="394"/>
      <c r="G39" s="277"/>
      <c r="H39" s="277"/>
      <c r="I39" s="272"/>
      <c r="J39" s="279" t="s">
        <v>82</v>
      </c>
      <c r="K39" s="345">
        <v>53.277999999999999</v>
      </c>
      <c r="L39" s="345">
        <v>42.289000000000001</v>
      </c>
      <c r="M39" s="345">
        <v>8.3140000000000001</v>
      </c>
      <c r="N39" s="345">
        <v>38.661000000000001</v>
      </c>
      <c r="O39" s="345">
        <v>163.5</v>
      </c>
      <c r="P39" s="345">
        <v>377.4</v>
      </c>
    </row>
    <row r="40" spans="1:16" customFormat="1" ht="15" customHeight="1">
      <c r="A40" s="389"/>
      <c r="B40" s="299" t="s">
        <v>21</v>
      </c>
      <c r="C40" s="300" t="s">
        <v>211</v>
      </c>
      <c r="D40" s="300" t="s">
        <v>216</v>
      </c>
      <c r="E40" s="300" t="s">
        <v>217</v>
      </c>
      <c r="F40" s="300" t="s">
        <v>218</v>
      </c>
      <c r="G40" s="360" t="s">
        <v>222</v>
      </c>
      <c r="H40" s="336" t="s">
        <v>223</v>
      </c>
      <c r="I40" s="272"/>
      <c r="J40" s="279" t="s">
        <v>83</v>
      </c>
      <c r="K40" s="345">
        <v>0</v>
      </c>
      <c r="L40" s="345">
        <v>0</v>
      </c>
      <c r="M40" s="345">
        <v>0</v>
      </c>
      <c r="N40" s="345">
        <v>0</v>
      </c>
      <c r="O40" s="345">
        <v>25.2</v>
      </c>
      <c r="P40" s="345">
        <v>49.4</v>
      </c>
    </row>
    <row r="41" spans="1:16" customFormat="1" ht="15" customHeight="1">
      <c r="A41" s="389"/>
      <c r="B41" s="278" t="s">
        <v>220</v>
      </c>
      <c r="C41" s="322">
        <f>C34</f>
        <v>23.324999999999999</v>
      </c>
      <c r="D41" s="322">
        <f t="shared" ref="D41:G41" si="16">D34</f>
        <v>-74.393000000000001</v>
      </c>
      <c r="E41" s="322">
        <f t="shared" si="16"/>
        <v>239.042</v>
      </c>
      <c r="F41" s="322">
        <f t="shared" si="16"/>
        <v>509.71100000000001</v>
      </c>
      <c r="G41" s="357">
        <f t="shared" si="16"/>
        <v>290.63600000000002</v>
      </c>
      <c r="H41" s="357">
        <f>H34</f>
        <v>-454.3</v>
      </c>
      <c r="I41" s="274"/>
      <c r="J41" s="279" t="s">
        <v>78</v>
      </c>
      <c r="K41" s="345">
        <v>32.511000000000003</v>
      </c>
      <c r="L41" s="345">
        <v>29.183</v>
      </c>
      <c r="M41" s="345">
        <v>81.006</v>
      </c>
      <c r="N41" s="345">
        <v>122.047</v>
      </c>
      <c r="O41" s="345">
        <v>29.3</v>
      </c>
      <c r="P41" s="345">
        <v>59.3</v>
      </c>
    </row>
    <row r="42" spans="1:16" customFormat="1" ht="15" customHeight="1">
      <c r="A42" s="389"/>
      <c r="B42" s="279" t="s">
        <v>28</v>
      </c>
      <c r="C42" s="323">
        <v>-25.585000000000001</v>
      </c>
      <c r="D42" s="323">
        <v>0.14299999999999999</v>
      </c>
      <c r="E42" s="323">
        <v>0</v>
      </c>
      <c r="F42" s="323">
        <f>0.259+8.713</f>
        <v>8.9719999999999995</v>
      </c>
      <c r="G42" s="358">
        <v>107.9</v>
      </c>
      <c r="H42" s="323">
        <v>473.3</v>
      </c>
      <c r="I42" s="274"/>
      <c r="J42" s="279" t="s">
        <v>173</v>
      </c>
      <c r="K42" s="345">
        <v>0</v>
      </c>
      <c r="L42" s="345">
        <v>0</v>
      </c>
      <c r="M42" s="345">
        <v>0</v>
      </c>
      <c r="N42" s="345">
        <v>0</v>
      </c>
      <c r="O42" s="345">
        <v>4.7</v>
      </c>
      <c r="P42" s="345">
        <v>19</v>
      </c>
    </row>
    <row r="43" spans="1:16" customFormat="1" ht="15" customHeight="1" thickBot="1">
      <c r="A43" s="389"/>
      <c r="B43" s="301" t="s">
        <v>29</v>
      </c>
      <c r="C43" s="324">
        <f>C41-C42</f>
        <v>48.91</v>
      </c>
      <c r="D43" s="324">
        <f t="shared" ref="D43:E43" si="17">D41-D42</f>
        <v>-74.536000000000001</v>
      </c>
      <c r="E43" s="324">
        <f t="shared" si="17"/>
        <v>239.042</v>
      </c>
      <c r="F43" s="324">
        <f>F41-F42</f>
        <v>500.73900000000003</v>
      </c>
      <c r="G43" s="359">
        <f t="shared" ref="G43" si="18">G41-G42</f>
        <v>182.73600000000002</v>
      </c>
      <c r="H43" s="359">
        <f>H41-H42</f>
        <v>-927.6</v>
      </c>
      <c r="I43" s="274"/>
      <c r="J43" s="279" t="s">
        <v>70</v>
      </c>
      <c r="K43" s="345">
        <v>1.5820000000000001</v>
      </c>
      <c r="L43" s="345">
        <v>1.1719999999999999</v>
      </c>
      <c r="M43" s="345">
        <v>0.77900000000000003</v>
      </c>
      <c r="N43" s="345">
        <v>6.2789999999999999</v>
      </c>
      <c r="O43" s="345">
        <v>88.1</v>
      </c>
      <c r="P43" s="345">
        <v>14.2</v>
      </c>
    </row>
    <row r="44" spans="1:16" customFormat="1" ht="15" customHeight="1">
      <c r="A44" s="389"/>
      <c r="B44" s="391"/>
      <c r="C44" s="391"/>
      <c r="D44" s="391"/>
      <c r="E44" s="391"/>
      <c r="F44" s="391"/>
      <c r="G44" s="277"/>
      <c r="H44" s="277"/>
      <c r="I44" s="274"/>
      <c r="J44" s="279"/>
      <c r="K44" s="345"/>
      <c r="L44" s="345"/>
      <c r="M44" s="345"/>
      <c r="N44" s="345"/>
      <c r="O44" s="345"/>
      <c r="P44" s="345"/>
    </row>
    <row r="45" spans="1:16" customFormat="1" ht="15" customHeight="1" thickBot="1">
      <c r="A45" s="389"/>
      <c r="B45" s="389"/>
      <c r="C45" s="389"/>
      <c r="D45" s="389"/>
      <c r="E45" s="389"/>
      <c r="F45" s="389"/>
      <c r="G45" s="277"/>
      <c r="H45" s="277"/>
      <c r="I45" s="274"/>
      <c r="J45" s="287" t="s">
        <v>47</v>
      </c>
      <c r="K45" s="346">
        <f t="shared" ref="K45:P45" si="19">(K27-K37-K10)</f>
        <v>2.757000000000021</v>
      </c>
      <c r="L45" s="346">
        <f t="shared" si="19"/>
        <v>113.19399999999999</v>
      </c>
      <c r="M45" s="346">
        <f t="shared" si="19"/>
        <v>158.50800000000001</v>
      </c>
      <c r="N45" s="346">
        <f t="shared" si="19"/>
        <v>500.37100000000009</v>
      </c>
      <c r="O45" s="346">
        <f t="shared" si="19"/>
        <v>927.40000000000009</v>
      </c>
      <c r="P45" s="346">
        <f t="shared" si="19"/>
        <v>3842.0000000000005</v>
      </c>
    </row>
    <row r="46" spans="1:16" customFormat="1" ht="15" customHeight="1">
      <c r="A46" s="389"/>
      <c r="B46" s="299" t="s">
        <v>21</v>
      </c>
      <c r="C46" s="336" t="s">
        <v>211</v>
      </c>
      <c r="D46" s="336" t="s">
        <v>216</v>
      </c>
      <c r="E46" s="336" t="s">
        <v>217</v>
      </c>
      <c r="F46" s="336" t="s">
        <v>218</v>
      </c>
      <c r="G46" s="360" t="s">
        <v>222</v>
      </c>
      <c r="H46" s="336" t="s">
        <v>223</v>
      </c>
      <c r="I46" s="274"/>
      <c r="J46" s="287" t="s">
        <v>219</v>
      </c>
      <c r="K46" s="346">
        <f t="shared" ref="K46:P46" si="20">K8+SUM(K47:K51)</f>
        <v>6.7200000000000006</v>
      </c>
      <c r="L46" s="346">
        <f t="shared" si="20"/>
        <v>9.8830000000000009</v>
      </c>
      <c r="M46" s="346">
        <f t="shared" si="20"/>
        <v>13.568000000000001</v>
      </c>
      <c r="N46" s="346">
        <f t="shared" si="20"/>
        <v>17.923999999999999</v>
      </c>
      <c r="O46" s="346">
        <f t="shared" si="20"/>
        <v>52.2</v>
      </c>
      <c r="P46" s="346">
        <f t="shared" si="20"/>
        <v>71.8</v>
      </c>
    </row>
    <row r="47" spans="1:16" customFormat="1" ht="15" customHeight="1">
      <c r="A47" s="389"/>
      <c r="B47" s="279" t="s">
        <v>73</v>
      </c>
      <c r="C47" s="331">
        <v>6462000</v>
      </c>
      <c r="D47" s="331">
        <v>6462000</v>
      </c>
      <c r="E47" s="332">
        <v>6462000</v>
      </c>
      <c r="F47" s="333">
        <v>19386000</v>
      </c>
      <c r="G47" s="361">
        <v>19389900</v>
      </c>
      <c r="H47" s="361">
        <v>20850650</v>
      </c>
      <c r="I47" s="274"/>
      <c r="J47" s="279" t="s">
        <v>48</v>
      </c>
      <c r="K47" s="345">
        <v>0</v>
      </c>
      <c r="L47" s="345"/>
      <c r="M47" s="345"/>
      <c r="N47" s="345">
        <v>0</v>
      </c>
      <c r="O47" s="345">
        <v>0</v>
      </c>
      <c r="P47" s="345">
        <v>0</v>
      </c>
    </row>
    <row r="48" spans="1:16" customFormat="1" ht="15" customHeight="1">
      <c r="A48" s="389"/>
      <c r="B48" s="279" t="s">
        <v>74</v>
      </c>
      <c r="C48" s="334" t="e">
        <f t="shared" ref="C48:H48" si="21">C47*K58/1000000</f>
        <v>#VALUE!</v>
      </c>
      <c r="D48" s="334">
        <f t="shared" si="21"/>
        <v>516.96</v>
      </c>
      <c r="E48" s="334">
        <f t="shared" si="21"/>
        <v>3493.6803</v>
      </c>
      <c r="F48" s="322">
        <f t="shared" si="21"/>
        <v>22073.868900000001</v>
      </c>
      <c r="G48" s="357">
        <f t="shared" si="21"/>
        <v>46346.708474999999</v>
      </c>
      <c r="H48" s="357">
        <f t="shared" si="21"/>
        <v>19974.922699999999</v>
      </c>
      <c r="I48" s="274"/>
      <c r="J48" s="279" t="s">
        <v>174</v>
      </c>
      <c r="K48" s="345">
        <v>0</v>
      </c>
      <c r="L48" s="345">
        <v>0</v>
      </c>
      <c r="M48" s="345">
        <v>0</v>
      </c>
      <c r="N48" s="345"/>
      <c r="O48" s="345">
        <v>43.7</v>
      </c>
      <c r="P48" s="345">
        <v>58.1</v>
      </c>
    </row>
    <row r="49" spans="1:21" customFormat="1" ht="15" customHeight="1">
      <c r="A49" s="389"/>
      <c r="B49" s="279" t="s">
        <v>77</v>
      </c>
      <c r="C49" s="354">
        <f t="shared" ref="C49:H49" si="22">K8</f>
        <v>0</v>
      </c>
      <c r="D49" s="354">
        <f t="shared" si="22"/>
        <v>0</v>
      </c>
      <c r="E49" s="355">
        <f t="shared" si="22"/>
        <v>1.375</v>
      </c>
      <c r="F49" s="355">
        <f t="shared" si="22"/>
        <v>0.65</v>
      </c>
      <c r="G49" s="362">
        <f t="shared" si="22"/>
        <v>0</v>
      </c>
      <c r="H49" s="362">
        <f t="shared" si="22"/>
        <v>0</v>
      </c>
      <c r="I49" s="274"/>
      <c r="J49" s="279" t="s">
        <v>83</v>
      </c>
      <c r="K49" s="345"/>
      <c r="L49" s="345"/>
      <c r="M49" s="345"/>
      <c r="N49" s="345"/>
      <c r="O49" s="345"/>
      <c r="P49" s="345">
        <v>0</v>
      </c>
    </row>
    <row r="50" spans="1:21" customFormat="1" ht="15" customHeight="1">
      <c r="A50" s="389"/>
      <c r="B50" s="279" t="s">
        <v>75</v>
      </c>
      <c r="C50" s="323">
        <f t="shared" ref="C50:D50" si="23">K31+K32</f>
        <v>4.516</v>
      </c>
      <c r="D50" s="323">
        <f t="shared" si="23"/>
        <v>9.75</v>
      </c>
      <c r="E50" s="335">
        <f>M31</f>
        <v>193.40899999999999</v>
      </c>
      <c r="F50" s="377">
        <f>N31</f>
        <v>633.26800000000003</v>
      </c>
      <c r="G50" s="363">
        <f>O31+O32</f>
        <v>944.2</v>
      </c>
      <c r="H50" s="363">
        <f>P31+P32</f>
        <v>3093.8</v>
      </c>
      <c r="I50" s="274"/>
      <c r="J50" s="279" t="s">
        <v>106</v>
      </c>
      <c r="K50" s="345">
        <v>6.6180000000000003</v>
      </c>
      <c r="L50" s="345">
        <v>8.4930000000000003</v>
      </c>
      <c r="M50" s="345">
        <v>10.364000000000001</v>
      </c>
      <c r="N50" s="345">
        <v>14.946999999999999</v>
      </c>
      <c r="O50" s="345">
        <v>8.5</v>
      </c>
      <c r="P50" s="345">
        <v>13.7</v>
      </c>
    </row>
    <row r="51" spans="1:21" customFormat="1" ht="15" customHeight="1" thickBot="1">
      <c r="A51" s="389"/>
      <c r="B51" s="290" t="s">
        <v>76</v>
      </c>
      <c r="C51" s="337" t="e">
        <f t="shared" ref="C51:G51" si="24">C49-C50+C48</f>
        <v>#VALUE!</v>
      </c>
      <c r="D51" s="337">
        <f t="shared" si="24"/>
        <v>507.21000000000004</v>
      </c>
      <c r="E51" s="380">
        <f t="shared" si="24"/>
        <v>3301.6462999999999</v>
      </c>
      <c r="F51" s="381">
        <f t="shared" si="24"/>
        <v>21441.250900000003</v>
      </c>
      <c r="G51" s="382">
        <f t="shared" si="24"/>
        <v>45402.508475000002</v>
      </c>
      <c r="H51" s="382">
        <f>H49-H50+H48</f>
        <v>16881.1227</v>
      </c>
      <c r="I51" s="274"/>
      <c r="J51" s="279" t="s">
        <v>161</v>
      </c>
      <c r="K51" s="345">
        <v>0.10199999999999999</v>
      </c>
      <c r="L51" s="345">
        <v>1.39</v>
      </c>
      <c r="M51" s="345">
        <v>1.829</v>
      </c>
      <c r="N51" s="345">
        <v>2.327</v>
      </c>
      <c r="O51" s="345"/>
      <c r="P51" s="345">
        <v>0</v>
      </c>
    </row>
    <row r="52" spans="1:21" customFormat="1" ht="15" customHeight="1">
      <c r="A52" s="389"/>
      <c r="B52" s="277"/>
      <c r="C52" s="277"/>
      <c r="D52" s="277"/>
      <c r="E52" s="277"/>
      <c r="F52" s="277"/>
      <c r="G52" s="277"/>
      <c r="H52" s="277"/>
      <c r="I52" s="274"/>
      <c r="J52" s="287" t="s">
        <v>88</v>
      </c>
      <c r="K52" s="346">
        <f t="shared" ref="K52:P52" si="25">K16+K27</f>
        <v>165.19</v>
      </c>
      <c r="L52" s="346">
        <f t="shared" si="25"/>
        <v>303.61700000000002</v>
      </c>
      <c r="M52" s="346">
        <f t="shared" si="25"/>
        <v>390.67199999999997</v>
      </c>
      <c r="N52" s="346">
        <f t="shared" si="25"/>
        <v>769.07800000000009</v>
      </c>
      <c r="O52" s="346">
        <f t="shared" si="25"/>
        <v>1459.5</v>
      </c>
      <c r="P52" s="346">
        <f t="shared" si="25"/>
        <v>5082.6000000000004</v>
      </c>
    </row>
    <row r="53" spans="1:21" customFormat="1" ht="15" customHeight="1" thickBot="1">
      <c r="A53" s="389"/>
      <c r="B53" s="277"/>
      <c r="C53" s="277"/>
      <c r="D53" s="277"/>
      <c r="E53" s="277"/>
      <c r="F53" s="277"/>
      <c r="G53" s="277"/>
      <c r="H53" s="277"/>
      <c r="I53" s="274"/>
      <c r="J53" s="293" t="s">
        <v>89</v>
      </c>
      <c r="K53" s="353">
        <f>K50+K37+K11+K6+K47+K48+K49+K51</f>
        <v>165.18899999999999</v>
      </c>
      <c r="L53" s="353">
        <f>L50+L37+L11+L6+L47+L48+L49+L51</f>
        <v>303.61599999999999</v>
      </c>
      <c r="M53" s="353">
        <f>M50+M37+M11+M6+M47+M48+M49+M51</f>
        <v>390.67099999999999</v>
      </c>
      <c r="N53" s="353">
        <f>N50+N37+N11+N6+N47+N48+N49+N51+N7</f>
        <v>769.07799999999997</v>
      </c>
      <c r="O53" s="364">
        <f>O50+O37+O11+O6+O47+O48+O49+O51+O7</f>
        <v>1459.9</v>
      </c>
      <c r="P53" s="364">
        <f>P50+P37+P11+P6+P47+P48+P49+P51+P7</f>
        <v>5082.6000000000004</v>
      </c>
    </row>
    <row r="54" spans="1:21" customFormat="1" ht="15" customHeight="1">
      <c r="A54" s="389"/>
      <c r="B54" s="277"/>
      <c r="C54" s="277"/>
      <c r="D54" s="277"/>
      <c r="E54" s="277"/>
      <c r="F54" s="277"/>
      <c r="G54" s="277"/>
      <c r="H54" s="277"/>
      <c r="I54" s="274"/>
      <c r="J54" s="328"/>
      <c r="K54" s="280"/>
      <c r="L54" s="280"/>
      <c r="M54" s="280"/>
      <c r="N54" s="280"/>
      <c r="O54" s="366"/>
      <c r="P54" s="367"/>
    </row>
    <row r="55" spans="1:21" customFormat="1" ht="15" customHeight="1" thickBot="1">
      <c r="A55" s="269"/>
      <c r="B55" s="277"/>
      <c r="C55" s="277"/>
      <c r="D55" s="277"/>
      <c r="E55" s="277"/>
      <c r="F55" s="277"/>
      <c r="G55" s="277"/>
      <c r="H55" s="277"/>
      <c r="I55" s="274"/>
      <c r="J55" s="328"/>
      <c r="K55" s="280"/>
      <c r="L55" s="280"/>
      <c r="M55" s="280"/>
      <c r="N55" s="280"/>
      <c r="O55" s="365"/>
      <c r="P55" s="368"/>
    </row>
    <row r="56" spans="1:21" customFormat="1" ht="15" customHeight="1">
      <c r="A56" s="269"/>
      <c r="B56" s="277"/>
      <c r="C56" s="277"/>
      <c r="D56" s="277"/>
      <c r="E56" s="277"/>
      <c r="F56" s="277"/>
      <c r="G56" s="277"/>
      <c r="H56" s="277"/>
      <c r="I56" s="274"/>
      <c r="J56" s="386" t="s">
        <v>49</v>
      </c>
      <c r="K56" s="387"/>
      <c r="L56" s="387"/>
      <c r="M56" s="387"/>
      <c r="N56" s="387"/>
      <c r="O56" s="387"/>
      <c r="P56" s="388"/>
    </row>
    <row r="57" spans="1:21" customFormat="1" ht="15" customHeight="1">
      <c r="A57" s="269"/>
      <c r="B57" s="277"/>
      <c r="C57" s="277"/>
      <c r="D57" s="277"/>
      <c r="E57" s="277"/>
      <c r="F57" s="277"/>
      <c r="G57" s="277"/>
      <c r="H57" s="277"/>
      <c r="I57" s="274"/>
      <c r="J57" s="297" t="s">
        <v>50</v>
      </c>
      <c r="K57" s="285" t="s">
        <v>211</v>
      </c>
      <c r="L57" s="285" t="s">
        <v>216</v>
      </c>
      <c r="M57" s="285" t="s">
        <v>217</v>
      </c>
      <c r="N57" s="285" t="s">
        <v>218</v>
      </c>
      <c r="O57" s="285" t="s">
        <v>222</v>
      </c>
      <c r="P57" s="285" t="s">
        <v>223</v>
      </c>
      <c r="Q57" s="280"/>
      <c r="R57" s="280"/>
      <c r="S57" s="280"/>
      <c r="T57" s="280"/>
      <c r="U57" s="280"/>
    </row>
    <row r="58" spans="1:21" customFormat="1" ht="15" customHeight="1">
      <c r="A58" s="269"/>
      <c r="B58" s="277"/>
      <c r="C58" s="277"/>
      <c r="D58" s="277"/>
      <c r="E58" s="277"/>
      <c r="F58" s="277"/>
      <c r="G58" s="277"/>
      <c r="H58" s="277"/>
      <c r="I58" s="274"/>
      <c r="J58" s="298" t="s">
        <v>51</v>
      </c>
      <c r="K58" s="302" t="s">
        <v>215</v>
      </c>
      <c r="L58" s="302">
        <v>80</v>
      </c>
      <c r="M58" s="302">
        <v>540.65</v>
      </c>
      <c r="N58" s="338">
        <v>1138.6500000000001</v>
      </c>
      <c r="O58" s="338">
        <v>2390.25</v>
      </c>
      <c r="P58" s="370">
        <v>958</v>
      </c>
      <c r="Q58" s="280"/>
      <c r="R58" s="383"/>
      <c r="S58" s="280"/>
      <c r="T58" s="280"/>
      <c r="U58" s="280"/>
    </row>
    <row r="59" spans="1:21" customFormat="1" ht="15" customHeight="1">
      <c r="A59" s="269"/>
      <c r="B59" s="277"/>
      <c r="C59" s="277"/>
      <c r="D59" s="277"/>
      <c r="E59" s="277"/>
      <c r="F59" s="277"/>
      <c r="G59" s="277"/>
      <c r="H59" s="277"/>
      <c r="I59" s="274"/>
      <c r="J59" s="303" t="s">
        <v>52</v>
      </c>
      <c r="K59" s="304">
        <f t="shared" ref="K59:P59" si="26">C26</f>
        <v>2.4</v>
      </c>
      <c r="L59" s="304">
        <f t="shared" si="26"/>
        <v>2.56</v>
      </c>
      <c r="M59" s="304">
        <f t="shared" si="26"/>
        <v>10.1</v>
      </c>
      <c r="N59" s="339">
        <f t="shared" si="26"/>
        <v>13.76</v>
      </c>
      <c r="O59" s="339">
        <f t="shared" si="26"/>
        <v>23.27</v>
      </c>
      <c r="P59" s="371">
        <f t="shared" si="26"/>
        <v>20.58</v>
      </c>
      <c r="Q59" s="374"/>
      <c r="R59" s="384"/>
      <c r="S59" s="296"/>
      <c r="T59" s="296"/>
      <c r="U59" s="296"/>
    </row>
    <row r="60" spans="1:21" customFormat="1" ht="15" customHeight="1">
      <c r="A60" s="269"/>
      <c r="B60" s="277"/>
      <c r="C60" s="277"/>
      <c r="D60" s="277"/>
      <c r="E60" s="277">
        <f>(H20+H19)/H19</f>
        <v>61.505494505494511</v>
      </c>
      <c r="F60" s="277"/>
      <c r="G60" s="277"/>
      <c r="H60" s="277"/>
      <c r="I60" s="274"/>
      <c r="J60" s="305" t="s">
        <v>53</v>
      </c>
      <c r="K60" s="304">
        <f t="shared" ref="K60:P60" si="27">(K6*1000000)/C47</f>
        <v>10.414732281027545</v>
      </c>
      <c r="L60" s="304">
        <f t="shared" si="27"/>
        <v>34.213710925410091</v>
      </c>
      <c r="M60" s="304">
        <f t="shared" si="27"/>
        <v>44.310430207366139</v>
      </c>
      <c r="N60" s="340">
        <f t="shared" si="27"/>
        <v>29.708294645620551</v>
      </c>
      <c r="O60" s="340">
        <f t="shared" si="27"/>
        <v>53.486609007782405</v>
      </c>
      <c r="P60" s="372">
        <f t="shared" si="27"/>
        <v>211.24041696541835</v>
      </c>
      <c r="R60" s="369"/>
      <c r="U60" s="420"/>
    </row>
    <row r="61" spans="1:21" customFormat="1" ht="15" customHeight="1">
      <c r="A61" s="269"/>
      <c r="B61" s="277"/>
      <c r="C61" s="277"/>
      <c r="D61" s="277"/>
      <c r="E61" s="277"/>
      <c r="F61" s="277"/>
      <c r="G61" s="277"/>
      <c r="H61" s="277"/>
      <c r="I61" s="274"/>
      <c r="J61" s="305" t="s">
        <v>55</v>
      </c>
      <c r="K61" s="304" t="e">
        <f t="shared" ref="K61:P61" si="28">K58/K59</f>
        <v>#VALUE!</v>
      </c>
      <c r="L61" s="304">
        <f t="shared" si="28"/>
        <v>31.25</v>
      </c>
      <c r="M61" s="304">
        <f t="shared" si="28"/>
        <v>53.529702970297031</v>
      </c>
      <c r="N61" s="308">
        <f t="shared" si="28"/>
        <v>82.750726744186053</v>
      </c>
      <c r="O61" s="308">
        <f t="shared" si="28"/>
        <v>102.71809196390203</v>
      </c>
      <c r="P61" s="372">
        <f t="shared" si="28"/>
        <v>46.550048590864918</v>
      </c>
      <c r="R61" s="385"/>
    </row>
    <row r="62" spans="1:21" customFormat="1" ht="15" customHeight="1">
      <c r="A62" s="269"/>
      <c r="B62" s="277"/>
      <c r="C62" s="277"/>
      <c r="D62" s="277"/>
      <c r="E62" s="277"/>
      <c r="F62" s="277"/>
      <c r="G62" s="277"/>
      <c r="H62" s="277"/>
      <c r="I62" s="274"/>
      <c r="J62" s="305" t="s">
        <v>56</v>
      </c>
      <c r="K62" s="304" t="e">
        <f t="shared" ref="K62:O62" si="29">K58/K60</f>
        <v>#VALUE!</v>
      </c>
      <c r="L62" s="304">
        <f t="shared" si="29"/>
        <v>2.33824387463872</v>
      </c>
      <c r="M62" s="304">
        <f t="shared" si="29"/>
        <v>12.201416178309247</v>
      </c>
      <c r="N62" s="372">
        <f t="shared" si="29"/>
        <v>38.327679645787214</v>
      </c>
      <c r="O62" s="372">
        <f t="shared" si="29"/>
        <v>44.688755640728949</v>
      </c>
      <c r="P62" s="372">
        <f>P58/P60</f>
        <v>4.5351169712793729</v>
      </c>
    </row>
    <row r="63" spans="1:21" customFormat="1" ht="15" customHeight="1">
      <c r="A63" s="269"/>
      <c r="B63" s="277"/>
      <c r="C63" s="277"/>
      <c r="D63" s="277"/>
      <c r="E63" s="277"/>
      <c r="F63" s="277"/>
      <c r="G63" s="277"/>
      <c r="H63" s="277"/>
      <c r="I63" s="274"/>
      <c r="J63" s="305" t="s">
        <v>57</v>
      </c>
      <c r="K63" s="304" t="e">
        <f t="shared" ref="K63:P63" si="30">C51/C12</f>
        <v>#VALUE!</v>
      </c>
      <c r="L63" s="304">
        <f t="shared" si="30"/>
        <v>14.521171519367861</v>
      </c>
      <c r="M63" s="304">
        <f t="shared" si="30"/>
        <v>27.420034050328052</v>
      </c>
      <c r="N63" s="308">
        <f t="shared" si="30"/>
        <v>52.20138944006078</v>
      </c>
      <c r="O63" s="308">
        <f t="shared" si="30"/>
        <v>75.469595204454805</v>
      </c>
      <c r="P63" s="308">
        <f t="shared" si="30"/>
        <v>33.335550355450231</v>
      </c>
      <c r="Q63" s="422"/>
    </row>
    <row r="64" spans="1:21" customFormat="1" ht="15" customHeight="1">
      <c r="A64" s="269"/>
      <c r="B64" s="277"/>
      <c r="C64" s="277"/>
      <c r="D64" s="277"/>
      <c r="E64" s="379"/>
      <c r="F64" s="277"/>
      <c r="G64" s="277"/>
      <c r="H64" s="277"/>
      <c r="I64" s="274"/>
      <c r="J64" s="306" t="s">
        <v>58</v>
      </c>
      <c r="K64" s="307">
        <f t="shared" ref="K64:O64" si="31">(C23/K6)</f>
        <v>0.16049034175334317</v>
      </c>
      <c r="L64" s="307">
        <f t="shared" si="31"/>
        <v>6.7665057963082739E-2</v>
      </c>
      <c r="M64" s="307">
        <f t="shared" si="31"/>
        <v>0.22785627972926714</v>
      </c>
      <c r="N64" s="307">
        <f t="shared" si="31"/>
        <v>0.46393540825628343</v>
      </c>
      <c r="O64" s="307">
        <f t="shared" si="31"/>
        <v>0.4358306817086105</v>
      </c>
      <c r="P64" s="307">
        <f>H23/AVERAGE(O6:P6)</f>
        <v>0.15002940311673038</v>
      </c>
    </row>
    <row r="65" spans="1:18" customFormat="1" ht="15" customHeight="1">
      <c r="A65" s="269"/>
      <c r="B65" s="277"/>
      <c r="C65" s="277"/>
      <c r="D65" s="277"/>
      <c r="E65" s="378"/>
      <c r="F65" s="277"/>
      <c r="G65" s="277"/>
      <c r="H65" s="277"/>
      <c r="I65" s="274"/>
      <c r="J65" s="306" t="s">
        <v>59</v>
      </c>
      <c r="K65" s="307">
        <f t="shared" ref="K65:P65" si="32">(C12-C17)/K12</f>
        <v>0.193339637935693</v>
      </c>
      <c r="L65" s="307">
        <f t="shared" si="32"/>
        <v>7.3995982196976257E-2</v>
      </c>
      <c r="M65" s="307">
        <f t="shared" si="32"/>
        <v>0.28047162072943821</v>
      </c>
      <c r="N65" s="307">
        <f t="shared" si="32"/>
        <v>0.5519012408878351</v>
      </c>
      <c r="O65" s="307">
        <f t="shared" si="32"/>
        <v>0.48912145414486358</v>
      </c>
      <c r="P65" s="307">
        <f>(H20+H19)/AVERAGE(O12:P12)</f>
        <v>0.20112835992525513</v>
      </c>
      <c r="Q65" s="375"/>
      <c r="R65" s="375"/>
    </row>
    <row r="66" spans="1:18" customFormat="1" ht="15" customHeight="1">
      <c r="A66" s="269"/>
      <c r="B66" s="277"/>
      <c r="C66" s="277"/>
      <c r="D66" s="277"/>
      <c r="E66" s="277"/>
      <c r="F66" s="277"/>
      <c r="G66" s="277"/>
      <c r="H66" s="277"/>
      <c r="I66" s="274"/>
      <c r="J66" s="305" t="s">
        <v>60</v>
      </c>
      <c r="K66" s="304">
        <f t="shared" ref="K66:P66" si="33">K11/K6</f>
        <v>5.6433878157503718E-2</v>
      </c>
      <c r="L66" s="304">
        <f t="shared" si="33"/>
        <v>0</v>
      </c>
      <c r="M66" s="304">
        <f t="shared" si="33"/>
        <v>7.1420089825169203E-3</v>
      </c>
      <c r="N66" s="304">
        <f t="shared" si="33"/>
        <v>2.3874636454399448E-3</v>
      </c>
      <c r="O66" s="304">
        <f t="shared" si="33"/>
        <v>3.0180310481149355E-2</v>
      </c>
      <c r="P66" s="304">
        <f t="shared" si="33"/>
        <v>1.2532637075718016E-2</v>
      </c>
    </row>
    <row r="67" spans="1:18" customFormat="1" ht="15" customHeight="1">
      <c r="A67" s="269"/>
      <c r="B67" s="277"/>
      <c r="C67" s="277"/>
      <c r="D67" s="277"/>
      <c r="E67" s="277"/>
      <c r="F67" s="277"/>
      <c r="G67" s="277"/>
      <c r="H67" s="277"/>
      <c r="I67" s="274"/>
      <c r="J67" s="305" t="s">
        <v>61</v>
      </c>
      <c r="K67" s="309">
        <f t="shared" ref="K67:P67" si="34">(K11-SUM(K31:K32))/K6</f>
        <v>-1.0668647845468053E-2</v>
      </c>
      <c r="L67" s="309">
        <f t="shared" si="34"/>
        <v>-4.4099887375672241E-2</v>
      </c>
      <c r="M67" s="309">
        <f t="shared" si="34"/>
        <v>-0.66832440436692819</v>
      </c>
      <c r="N67" s="309">
        <f t="shared" si="34"/>
        <v>-1.0971793202239877</v>
      </c>
      <c r="O67" s="309">
        <f t="shared" si="34"/>
        <v>-0.88024298524732425</v>
      </c>
      <c r="P67" s="372">
        <f t="shared" si="34"/>
        <v>-0.68988534453399941</v>
      </c>
      <c r="R67" s="423"/>
    </row>
    <row r="68" spans="1:18" customFormat="1" ht="15" customHeight="1">
      <c r="A68" s="269"/>
      <c r="B68" s="277"/>
      <c r="C68" s="277"/>
      <c r="D68" s="277"/>
      <c r="E68" s="277"/>
      <c r="F68" s="277"/>
      <c r="G68" s="277"/>
      <c r="H68" s="277"/>
      <c r="I68" s="274"/>
      <c r="J68" s="305" t="s">
        <v>63</v>
      </c>
      <c r="K68" s="310">
        <f>K30/C4*365</f>
        <v>175.28753910323255</v>
      </c>
      <c r="L68" s="310">
        <f>(AVERAGE(K30:L30)/D4*365)</f>
        <v>117.36290171655526</v>
      </c>
      <c r="M68" s="310">
        <f>(AVERAGE(L30:M30)/E4*365)</f>
        <v>26.362193455820425</v>
      </c>
      <c r="N68" s="310">
        <f>(AVERAGE(M30:N30)/F4*365)</f>
        <v>2.6900222026746703</v>
      </c>
      <c r="O68" s="310">
        <f>(AVERAGE(N30:O30)/G4*365)</f>
        <v>34.582490906991517</v>
      </c>
      <c r="P68" s="310">
        <f>(AVERAGE(O30:P30)/H4*365)</f>
        <v>127.49717804002051</v>
      </c>
      <c r="Q68" s="369"/>
      <c r="R68" s="423"/>
    </row>
    <row r="69" spans="1:18" customFormat="1" ht="15" customHeight="1">
      <c r="A69" s="269"/>
      <c r="B69" s="277"/>
      <c r="C69" s="277"/>
      <c r="D69" s="277"/>
      <c r="E69" s="378"/>
      <c r="F69" s="378"/>
      <c r="G69" s="277"/>
      <c r="H69" s="277"/>
      <c r="I69" s="274"/>
      <c r="J69" s="305" t="s">
        <v>64</v>
      </c>
      <c r="K69" s="310">
        <f>AVERAGE(K39)/(C7)*365</f>
        <v>156.89722778028786</v>
      </c>
      <c r="L69" s="310">
        <f>AVERAGE(K39:L39)/(D7)*365</f>
        <v>110.78349202517899</v>
      </c>
      <c r="M69" s="310">
        <f t="shared" ref="M69:O69" si="35">AVERAGE(L39:M39)/(E8+E9)*365</f>
        <v>73.702315206461193</v>
      </c>
      <c r="N69" s="310">
        <f t="shared" si="35"/>
        <v>18.325447398122339</v>
      </c>
      <c r="O69" s="310">
        <f t="shared" si="35"/>
        <v>65.103904182106945</v>
      </c>
      <c r="P69" s="310">
        <f>AVERAGE(O39:P39)/(H8+H9)*365</f>
        <v>109.90230460921843</v>
      </c>
      <c r="Q69" s="425"/>
    </row>
    <row r="70" spans="1:18" customFormat="1" ht="15" customHeight="1">
      <c r="A70" s="269"/>
      <c r="B70" s="277"/>
      <c r="C70" s="277"/>
      <c r="D70" s="277"/>
      <c r="E70" s="277"/>
      <c r="F70" s="277"/>
      <c r="G70" s="277"/>
      <c r="H70" s="277"/>
      <c r="I70" s="274"/>
      <c r="J70" s="305" t="s">
        <v>81</v>
      </c>
      <c r="K70" s="310">
        <f t="shared" ref="K70:O70" si="36">(K68-K69)</f>
        <v>18.390311322944683</v>
      </c>
      <c r="L70" s="310">
        <f t="shared" si="36"/>
        <v>6.5794096913762701</v>
      </c>
      <c r="M70" s="310">
        <f t="shared" si="36"/>
        <v>-47.340121750640769</v>
      </c>
      <c r="N70" s="310">
        <f t="shared" si="36"/>
        <v>-15.635425195447668</v>
      </c>
      <c r="O70" s="310">
        <f t="shared" si="36"/>
        <v>-30.521413275115428</v>
      </c>
      <c r="P70" s="310">
        <f>(P68-P69)</f>
        <v>17.594873430802082</v>
      </c>
      <c r="Q70" s="424"/>
    </row>
    <row r="71" spans="1:18" customFormat="1" ht="15" customHeight="1">
      <c r="A71" s="269"/>
      <c r="B71" s="277"/>
      <c r="C71" s="277"/>
      <c r="D71" s="277"/>
      <c r="E71" s="277"/>
      <c r="F71" s="277"/>
      <c r="G71" s="277"/>
      <c r="H71" s="277"/>
      <c r="I71" s="274"/>
      <c r="J71" s="305" t="s">
        <v>66</v>
      </c>
      <c r="K71" s="310">
        <f>AVERAGE(K45)/C4*365</f>
        <v>6.5582964025026564</v>
      </c>
      <c r="L71" s="310">
        <f>AVERAGE(K45:L45)/D4*365</f>
        <v>110.00643318326905</v>
      </c>
      <c r="M71" s="310">
        <f>AVERAGE(L45:M45)/E4*365</f>
        <v>121.40720182947135</v>
      </c>
      <c r="N71" s="310">
        <f>AVERAGE(M45:N45)/F4*365</f>
        <v>94.271535496839761</v>
      </c>
      <c r="O71" s="310">
        <f>AVERAGE(N45:O45)/G4*365</f>
        <v>150.43485220252876</v>
      </c>
      <c r="P71" s="310">
        <f>AVERAGE(O45:P45)/H4*365</f>
        <v>446.59594663930227</v>
      </c>
      <c r="Q71" s="369"/>
    </row>
    <row r="72" spans="1:18" customFormat="1" ht="15" customHeight="1" thickBot="1">
      <c r="A72" s="269"/>
      <c r="B72" s="277"/>
      <c r="C72" s="277"/>
      <c r="D72" s="277"/>
      <c r="E72" s="277"/>
      <c r="F72" s="277"/>
      <c r="G72" s="277"/>
      <c r="H72" s="277"/>
      <c r="I72" s="274"/>
      <c r="J72" s="311" t="s">
        <v>86</v>
      </c>
      <c r="K72" s="344">
        <f>C19</f>
        <v>0.51700000000000002</v>
      </c>
      <c r="L72" s="344">
        <f t="shared" ref="L72:O72" si="37">D19</f>
        <v>0.54500000000000004</v>
      </c>
      <c r="M72" s="344">
        <f t="shared" si="37"/>
        <v>0.104</v>
      </c>
      <c r="N72" s="344">
        <f t="shared" si="37"/>
        <v>0.253</v>
      </c>
      <c r="O72" s="344">
        <f t="shared" si="37"/>
        <v>3.4</v>
      </c>
      <c r="P72" s="344">
        <f>H19</f>
        <v>9.1</v>
      </c>
      <c r="Q72" s="369"/>
    </row>
    <row r="73" spans="1:18" customFormat="1" ht="15" customHeight="1">
      <c r="A73" s="269"/>
      <c r="B73" s="277"/>
      <c r="C73" s="277"/>
      <c r="D73" s="277"/>
      <c r="E73" s="277"/>
      <c r="F73" s="277"/>
      <c r="G73" s="277"/>
      <c r="H73" s="277"/>
      <c r="I73" s="269"/>
      <c r="J73" s="269"/>
      <c r="K73" s="269"/>
      <c r="L73" s="269"/>
      <c r="M73" s="277"/>
      <c r="N73" s="277"/>
      <c r="O73" s="277"/>
      <c r="P73" s="277"/>
    </row>
    <row r="74" spans="1:18" customFormat="1" ht="15" customHeight="1">
      <c r="A74" s="269"/>
      <c r="B74" s="277"/>
      <c r="C74" s="277"/>
      <c r="D74" s="277"/>
      <c r="E74" s="277"/>
      <c r="F74" s="277"/>
      <c r="G74" s="277"/>
      <c r="H74" s="277"/>
      <c r="I74" s="269"/>
      <c r="J74" s="269"/>
      <c r="K74" s="269"/>
      <c r="L74" s="269"/>
      <c r="M74" s="277"/>
      <c r="N74" s="277"/>
      <c r="O74" s="277"/>
      <c r="P74" s="378"/>
    </row>
    <row r="75" spans="1:18" customFormat="1" ht="15" customHeight="1">
      <c r="A75" s="269"/>
      <c r="B75" s="277"/>
      <c r="C75" s="277"/>
      <c r="D75" s="277"/>
      <c r="E75" s="277"/>
      <c r="F75" s="277"/>
      <c r="G75" s="277"/>
      <c r="H75" s="277"/>
      <c r="I75" s="269"/>
      <c r="J75" s="269"/>
      <c r="K75" s="269"/>
      <c r="L75" s="269"/>
      <c r="M75" s="277"/>
      <c r="N75" s="277"/>
      <c r="O75" s="277"/>
      <c r="P75" s="277"/>
    </row>
    <row r="76" spans="1:18" customFormat="1" ht="15" customHeight="1">
      <c r="A76" s="269"/>
      <c r="B76" s="277"/>
      <c r="C76" s="277"/>
      <c r="D76" s="277"/>
      <c r="E76" s="277"/>
      <c r="F76" s="277"/>
      <c r="G76" s="277"/>
      <c r="H76" s="277"/>
      <c r="I76" s="269"/>
      <c r="J76" s="269"/>
      <c r="K76" s="269"/>
      <c r="L76" s="269"/>
      <c r="M76" s="277"/>
      <c r="N76" s="277"/>
      <c r="O76" s="277"/>
      <c r="P76" s="277"/>
    </row>
    <row r="1048574" spans="10:12" ht="15" customHeight="1">
      <c r="J1048574" s="277"/>
      <c r="K1048574" s="277"/>
      <c r="L1048574" s="277"/>
    </row>
  </sheetData>
  <mergeCells count="9">
    <mergeCell ref="J56:P56"/>
    <mergeCell ref="A1:A54"/>
    <mergeCell ref="B29:F30"/>
    <mergeCell ref="B39:F39"/>
    <mergeCell ref="B44:F45"/>
    <mergeCell ref="B2:G2"/>
    <mergeCell ref="B31:H31"/>
    <mergeCell ref="B1:P1"/>
    <mergeCell ref="J2:P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K67:L67 L68:N68 O68 P67 P70 L69 O7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414" t="s">
        <v>185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186</v>
      </c>
      <c r="C4" s="111" t="s">
        <v>187</v>
      </c>
      <c r="D4" s="111" t="s">
        <v>188</v>
      </c>
      <c r="E4" s="111" t="s">
        <v>189</v>
      </c>
      <c r="F4" s="110"/>
      <c r="H4" s="120" t="s">
        <v>124</v>
      </c>
      <c r="I4" s="111" t="s">
        <v>186</v>
      </c>
      <c r="J4" s="111" t="s">
        <v>187</v>
      </c>
      <c r="K4" s="111" t="s">
        <v>188</v>
      </c>
      <c r="L4" s="111" t="s">
        <v>199</v>
      </c>
      <c r="M4" s="110"/>
    </row>
    <row r="5" spans="1:13">
      <c r="A5" s="92" t="s">
        <v>196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Consolidated!M6</f>
        <v>286.334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200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Consolidated!M8/10</f>
        <v>0.13750000000000001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Consolidated!M10/10</f>
        <v>6.7000000000000004E-2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0.20450000000000002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29.990300000000001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Consolidated!M16/10</f>
        <v>14.139499999999998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Consolidated!M27/10</f>
        <v>24.927699999999998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190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201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205</v>
      </c>
      <c r="I14" s="102">
        <f>Consolidated!M30/10</f>
        <v>0.89800000000000002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>
        <f>Consolidated!L30/10</f>
        <v>5.0017000000000005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191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192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Consolidated!M37/10</f>
        <v>9.0098999999999982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206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202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Consolidated!L39/10</f>
        <v>4.2289000000000003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203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15.8508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193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204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194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186</v>
      </c>
      <c r="J25" s="111" t="s">
        <v>208</v>
      </c>
      <c r="K25" s="111" t="s">
        <v>188</v>
      </c>
      <c r="L25" s="111" t="s">
        <v>199</v>
      </c>
      <c r="M25" s="110"/>
    </row>
    <row r="26" spans="1:13">
      <c r="A26" s="92" t="s">
        <v>207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195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6.4845218986470986E-3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415" t="s">
        <v>197</v>
      </c>
      <c r="B1" s="416"/>
      <c r="C1" s="416"/>
      <c r="D1" s="416"/>
      <c r="E1" s="416"/>
      <c r="F1" s="416"/>
      <c r="G1" s="416"/>
      <c r="H1" s="416"/>
      <c r="I1" s="417"/>
    </row>
    <row r="2" spans="1:9" s="144" customFormat="1" ht="28.8">
      <c r="A2" s="418" t="s">
        <v>151</v>
      </c>
      <c r="B2" s="111" t="s">
        <v>186</v>
      </c>
      <c r="C2" s="111" t="s">
        <v>186</v>
      </c>
      <c r="D2" s="111" t="s">
        <v>198</v>
      </c>
      <c r="E2" s="111" t="s">
        <v>198</v>
      </c>
      <c r="F2" s="111" t="s">
        <v>188</v>
      </c>
      <c r="G2" s="111" t="s">
        <v>188</v>
      </c>
      <c r="H2" s="111" t="s">
        <v>199</v>
      </c>
      <c r="I2" s="111" t="s">
        <v>199</v>
      </c>
    </row>
    <row r="3" spans="1:9" s="144" customFormat="1" ht="31.2">
      <c r="A3" s="419"/>
      <c r="B3" s="145" t="s">
        <v>212</v>
      </c>
      <c r="C3" s="145" t="s">
        <v>213</v>
      </c>
      <c r="D3" s="145" t="s">
        <v>212</v>
      </c>
      <c r="E3" s="145" t="s">
        <v>213</v>
      </c>
      <c r="F3" s="145" t="s">
        <v>212</v>
      </c>
      <c r="G3" s="145" t="s">
        <v>213</v>
      </c>
      <c r="H3" s="145" t="s">
        <v>212</v>
      </c>
      <c r="I3" s="145" t="s">
        <v>213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>
        <f>Consolidated!C4</f>
        <v>153.44</v>
      </c>
      <c r="C6" s="117">
        <f>Consolidated!D4</f>
        <v>192.36199999999999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str">
        <f>Consolidated!C6</f>
        <v>NA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str">
        <f>Consolidated!C14</f>
        <v>NA</v>
      </c>
      <c r="C8" s="236" t="str">
        <f>Consolidated!D14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>
        <f>Consolidated!C16</f>
        <v>0.63900000000000001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>
        <f>Consolidated!C17</f>
        <v>15.185</v>
      </c>
      <c r="C10" s="253">
        <f>Consolidated!D17</f>
        <v>17.838000000000001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Consolidated!C25</f>
        <v>0</v>
      </c>
      <c r="C11" s="235">
        <f>Consolidated!D25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>
        <f>+B11/B$6</f>
        <v>0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str">
        <f>Consolidated!C28</f>
        <v>NA</v>
      </c>
      <c r="C14" s="252" t="str">
        <f>Consolidated!D28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Consolidated!N6</f>
        <v>575.92499999999995</v>
      </c>
      <c r="C18" s="235">
        <f>Consolidated!O6</f>
        <v>1037.1000000000001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Consolidated!N11</f>
        <v>1.375</v>
      </c>
      <c r="C19" s="254">
        <f>Consolidated!O11</f>
        <v>31.3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Consolidated!N8</f>
        <v>0.65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209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Consolidated!N10</f>
        <v>0.72499999999999998</v>
      </c>
      <c r="C21" s="231">
        <f>Consolidated!O10</f>
        <v>31.3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209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>
        <f>Consolidated!C36</f>
        <v>3.2810000000000001</v>
      </c>
      <c r="C24" s="266">
        <f>Consolidated!D36</f>
        <v>134.48699999999999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Consolidated!C45</f>
        <v>0</v>
      </c>
      <c r="C25" s="262">
        <f>Consolidated!D45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Consolidated!D49</f>
        <v>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Consolidated!C50</f>
        <v>4.516</v>
      </c>
      <c r="C28" s="264">
        <f>Consolidated!D50</f>
        <v>9.75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e">
        <f>Consolidated!K61</f>
        <v>#VALUE!</v>
      </c>
      <c r="C31" s="232">
        <f>Consolidated!L61</f>
        <v>31.25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e">
        <f>Consolidated!K62</f>
        <v>#VALUE!</v>
      </c>
      <c r="C33" s="232">
        <f>Consolidated!L62</f>
        <v>2.33824387463872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e">
        <f>Consolidated!K63</f>
        <v>#VALUE!</v>
      </c>
      <c r="C34" s="265">
        <f>Consolidated!L63</f>
        <v>14.521171519367861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214</v>
      </c>
      <c r="B37" s="252" t="str">
        <f>Consolidated!K58</f>
        <v>NA</v>
      </c>
      <c r="C37" s="252">
        <f>Consolidated!L58</f>
        <v>80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575.92499999999995</v>
      </c>
      <c r="C38" s="252">
        <f>C18</f>
        <v>1037.1000000000001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>
        <f>Consolidated!K60</f>
        <v>10.414732281027545</v>
      </c>
      <c r="C39" s="252">
        <f>Consolidated!L60</f>
        <v>34.213710925410091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>
        <f>Consolidated!K64</f>
        <v>0.16049034175334317</v>
      </c>
      <c r="C40" s="125">
        <f>Consolidated!L64</f>
        <v>6.7665057963082739E-2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>
        <f>Consolidated!K65</f>
        <v>0.193339637935693</v>
      </c>
      <c r="C41" s="125">
        <f>Consolidated!L65</f>
        <v>7.3995982196976257E-2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6.4845218986470986E-3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>
        <f>Consolidated!K68</f>
        <v>175.28753910323255</v>
      </c>
      <c r="C43" s="228">
        <f>Consolidated!L68</f>
        <v>117.36290171655526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209</v>
      </c>
      <c r="D44" s="251" t="s">
        <v>209</v>
      </c>
      <c r="E44" s="127"/>
      <c r="F44" s="251" t="s">
        <v>209</v>
      </c>
      <c r="G44" s="127"/>
      <c r="H44" s="251" t="s">
        <v>209</v>
      </c>
      <c r="I44" s="127"/>
    </row>
    <row r="45" spans="1:9">
      <c r="A45" s="126" t="s">
        <v>130</v>
      </c>
      <c r="B45" s="228">
        <f>Consolidated!K69</f>
        <v>156.89722778028786</v>
      </c>
      <c r="C45" s="228">
        <f>Consolidated!L69</f>
        <v>110.78349202517899</v>
      </c>
      <c r="D45" s="251" t="s">
        <v>209</v>
      </c>
      <c r="E45" s="127"/>
      <c r="F45" s="251" t="s">
        <v>209</v>
      </c>
      <c r="G45" s="127"/>
      <c r="H45" s="251" t="s">
        <v>209</v>
      </c>
      <c r="I45" s="127"/>
    </row>
    <row r="46" spans="1:9">
      <c r="A46" s="126" t="s">
        <v>129</v>
      </c>
      <c r="B46" s="256">
        <f>Consolidated!K70</f>
        <v>18.390311322944683</v>
      </c>
      <c r="C46" s="228">
        <f>Consolidated!L70</f>
        <v>6.5794096913762701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Consolidated!K71</f>
        <v>6.5582964025026564</v>
      </c>
      <c r="C47" s="228">
        <f>Consolidated!L71</f>
        <v>110.00643318326905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>
        <f>Consolidated!K66</f>
        <v>5.6433878157503718E-2</v>
      </c>
      <c r="C48" s="232">
        <f>Consolidated!L66</f>
        <v>0</v>
      </c>
      <c r="D48" s="128">
        <v>0.19</v>
      </c>
      <c r="E48" s="128">
        <v>0.19</v>
      </c>
      <c r="F48" s="128">
        <v>0.06</v>
      </c>
      <c r="G48" s="261" t="s">
        <v>209</v>
      </c>
      <c r="H48" s="128">
        <v>0.4</v>
      </c>
      <c r="I48" s="128">
        <v>0.28999999999999998</v>
      </c>
    </row>
    <row r="49" spans="1:9">
      <c r="A49" s="126" t="s">
        <v>127</v>
      </c>
      <c r="B49" s="232">
        <f>Consolidated!K67</f>
        <v>-1.0668647845468053E-2</v>
      </c>
      <c r="C49" s="232">
        <f>Consolidated!L67</f>
        <v>-4.4099887375672241E-2</v>
      </c>
      <c r="D49" s="128">
        <v>0.19</v>
      </c>
      <c r="E49" s="128">
        <v>0.14000000000000001</v>
      </c>
      <c r="F49" s="128">
        <v>0.06</v>
      </c>
      <c r="G49" s="261" t="s">
        <v>209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>
        <f>Consolidated!K72</f>
        <v>0.51700000000000002</v>
      </c>
      <c r="C51" s="267">
        <f>Consolidated!L72</f>
        <v>0.54500000000000004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2021-02-17T05:19:03Z</cp:lastPrinted>
  <dcterms:created xsi:type="dcterms:W3CDTF">2017-09-19T08:05:47Z</dcterms:created>
  <dcterms:modified xsi:type="dcterms:W3CDTF">2026-06-11T06:05:22Z</dcterms:modified>
</cp:coreProperties>
</file>