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Q4-FY26\beta drugs\"/>
    </mc:Choice>
  </mc:AlternateContent>
  <xr:revisionPtr revIDLastSave="0" documentId="13_ncr:1_{44791F40-D11B-472B-82F7-556356BFA7D0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E46" i="1"/>
  <c r="F46" i="1"/>
  <c r="D46" i="1"/>
  <c r="F39" i="1"/>
  <c r="E38" i="1"/>
  <c r="F38" i="1"/>
  <c r="D38" i="1"/>
  <c r="D37" i="1"/>
  <c r="E37" i="1"/>
  <c r="F37" i="1"/>
  <c r="C37" i="1"/>
  <c r="F16" i="1"/>
  <c r="E15" i="1"/>
  <c r="F15" i="1"/>
  <c r="D15" i="1"/>
  <c r="D14" i="1"/>
  <c r="E14" i="1"/>
  <c r="F14" i="1"/>
  <c r="C14" i="1"/>
  <c r="F7" i="1"/>
  <c r="E6" i="1"/>
  <c r="F6" i="1"/>
  <c r="D6" i="1"/>
  <c r="J92" i="1"/>
  <c r="K92" i="1"/>
  <c r="L92" i="1"/>
  <c r="I92" i="1"/>
  <c r="J91" i="1"/>
  <c r="K91" i="1"/>
  <c r="L91" i="1"/>
  <c r="I91" i="1"/>
  <c r="K90" i="1"/>
  <c r="L90" i="1"/>
  <c r="J90" i="1"/>
  <c r="I90" i="1"/>
  <c r="K89" i="1"/>
  <c r="L89" i="1"/>
  <c r="J89" i="1"/>
  <c r="I89" i="1"/>
  <c r="K87" i="1"/>
  <c r="L87" i="1"/>
  <c r="K88" i="1"/>
  <c r="L88" i="1"/>
  <c r="J88" i="1"/>
  <c r="I88" i="1"/>
  <c r="I87" i="1"/>
  <c r="J84" i="1"/>
  <c r="K84" i="1"/>
  <c r="L84" i="1"/>
  <c r="J85" i="1"/>
  <c r="K85" i="1"/>
  <c r="L85" i="1"/>
  <c r="I85" i="1"/>
  <c r="I84" i="1"/>
  <c r="J82" i="1"/>
  <c r="K82" i="1"/>
  <c r="L82" i="1"/>
  <c r="J83" i="1"/>
  <c r="K83" i="1"/>
  <c r="L83" i="1"/>
  <c r="I83" i="1"/>
  <c r="I82" i="1"/>
  <c r="K80" i="1"/>
  <c r="L80" i="1"/>
  <c r="K81" i="1"/>
  <c r="L81" i="1"/>
  <c r="J80" i="1"/>
  <c r="J81" i="1"/>
  <c r="I81" i="1"/>
  <c r="I80" i="1"/>
  <c r="J78" i="1"/>
  <c r="K78" i="1"/>
  <c r="L78" i="1"/>
  <c r="J79" i="1"/>
  <c r="K79" i="1"/>
  <c r="L79" i="1"/>
  <c r="I79" i="1"/>
  <c r="I78" i="1"/>
  <c r="L76" i="1"/>
  <c r="I76" i="1"/>
  <c r="C72" i="1"/>
  <c r="L31" i="1"/>
  <c r="K31" i="1"/>
  <c r="J44" i="1"/>
  <c r="J31" i="1"/>
  <c r="F68" i="1"/>
  <c r="E68" i="1"/>
  <c r="J11" i="1"/>
  <c r="K11" i="1"/>
  <c r="L11" i="1"/>
  <c r="J10" i="1"/>
  <c r="K10" i="1"/>
  <c r="L10" i="1"/>
  <c r="I10" i="1"/>
  <c r="F63" i="1"/>
  <c r="E63" i="1"/>
  <c r="E59" i="1"/>
  <c r="E13" i="1"/>
  <c r="D68" i="1"/>
  <c r="C68" i="1"/>
  <c r="C70" i="1" s="1"/>
  <c r="D64" i="1"/>
  <c r="C63" i="1"/>
  <c r="D63" i="1"/>
  <c r="E21" i="1" l="1"/>
  <c r="E23" i="1" s="1"/>
  <c r="E25" i="1" s="1"/>
  <c r="F64" i="1"/>
  <c r="E64" i="1"/>
  <c r="C59" i="1"/>
  <c r="C60" i="1" s="1"/>
  <c r="D55" i="1" s="1"/>
  <c r="L65" i="1"/>
  <c r="J65" i="1"/>
  <c r="K65" i="1"/>
  <c r="I11" i="1"/>
  <c r="I65" i="1"/>
  <c r="I31" i="1"/>
  <c r="F52" i="1"/>
  <c r="F51" i="1"/>
  <c r="L75" i="1"/>
  <c r="L12" i="1"/>
  <c r="F72" i="1"/>
  <c r="F70" i="1"/>
  <c r="F43" i="1"/>
  <c r="F13" i="1"/>
  <c r="F21" i="1" l="1"/>
  <c r="F65" i="1"/>
  <c r="L8" i="1" l="1"/>
  <c r="F71" i="1"/>
  <c r="F73" i="1" s="1"/>
  <c r="K53" i="1"/>
  <c r="K7" i="1"/>
  <c r="L53" i="1"/>
  <c r="L7" i="1"/>
  <c r="L44" i="1"/>
  <c r="F59" i="1"/>
  <c r="D59" i="1"/>
  <c r="K75" i="1"/>
  <c r="K12" i="1"/>
  <c r="E71" i="1" s="1"/>
  <c r="E51" i="1"/>
  <c r="J75" i="1"/>
  <c r="I75" i="1"/>
  <c r="E72" i="1"/>
  <c r="E70" i="1"/>
  <c r="E43" i="1"/>
  <c r="D72" i="1"/>
  <c r="E65" i="1"/>
  <c r="K44" i="1"/>
  <c r="K8" i="1"/>
  <c r="K76" i="1" s="1"/>
  <c r="E35" i="1"/>
  <c r="D51" i="1"/>
  <c r="D13" i="1"/>
  <c r="D21" i="1" s="1"/>
  <c r="D23" i="1" s="1"/>
  <c r="C13" i="1"/>
  <c r="D30" i="1"/>
  <c r="D70" i="1"/>
  <c r="D43" i="1"/>
  <c r="C35" i="1"/>
  <c r="D35" i="1"/>
  <c r="C30" i="1"/>
  <c r="I12" i="1"/>
  <c r="I7" i="1"/>
  <c r="J7" i="1"/>
  <c r="J8" i="1"/>
  <c r="C43" i="1"/>
  <c r="I53" i="1"/>
  <c r="I44" i="1"/>
  <c r="I8" i="1"/>
  <c r="C71" i="1" l="1"/>
  <c r="C73" i="1" s="1"/>
  <c r="I14" i="1"/>
  <c r="L67" i="1"/>
  <c r="C21" i="1"/>
  <c r="C65" i="1"/>
  <c r="L69" i="1"/>
  <c r="D65" i="1"/>
  <c r="K69" i="1"/>
  <c r="I70" i="1"/>
  <c r="I71" i="1" s="1"/>
  <c r="I69" i="1"/>
  <c r="I67" i="1"/>
  <c r="E73" i="1"/>
  <c r="K70" i="1"/>
  <c r="K71" i="1" s="1"/>
  <c r="D25" i="1"/>
  <c r="D32" i="1" s="1"/>
  <c r="D36" i="1" s="1"/>
  <c r="D60" i="1"/>
  <c r="E55" i="1" s="1"/>
  <c r="E60" i="1" s="1"/>
  <c r="K14" i="1"/>
  <c r="L70" i="1"/>
  <c r="L71" i="1" s="1"/>
  <c r="K67" i="1"/>
  <c r="J76" i="1"/>
  <c r="J69" i="1"/>
  <c r="L14" i="1"/>
  <c r="C23" i="1" l="1"/>
  <c r="C25" i="1"/>
  <c r="C31" i="1" s="1"/>
  <c r="F55" i="1"/>
  <c r="F60" i="1" s="1"/>
  <c r="D45" i="1"/>
  <c r="J87" i="1"/>
  <c r="F23" i="1"/>
  <c r="F25" i="1" s="1"/>
  <c r="F31" i="1" s="1"/>
  <c r="E32" i="1"/>
  <c r="D31" i="1"/>
  <c r="C32" i="1" l="1"/>
  <c r="C36" i="1" s="1"/>
  <c r="E31" i="1"/>
  <c r="E36" i="1"/>
  <c r="F32" i="1"/>
  <c r="F36" i="1" s="1"/>
  <c r="C45" i="1" l="1"/>
  <c r="F45" i="1"/>
  <c r="E45" i="1"/>
  <c r="J53" i="1" l="1"/>
  <c r="J12" i="1"/>
  <c r="J67" i="1"/>
  <c r="J14" i="1" l="1"/>
  <c r="D71" i="1"/>
  <c r="D73" i="1" s="1"/>
  <c r="J70" i="1"/>
  <c r="J71" i="1" s="1"/>
</calcChain>
</file>

<file path=xl/sharedStrings.xml><?xml version="1.0" encoding="utf-8"?>
<sst xmlns="http://schemas.openxmlformats.org/spreadsheetml/2006/main" count="285" uniqueCount="182">
  <si>
    <t>March Year Ended (INR Mn)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</si>
  <si>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</si>
  <si>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</si>
  <si>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</si>
  <si>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</si>
  <si>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</si>
  <si>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</si>
  <si>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</si>
  <si>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</si>
  <si>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</si>
  <si>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</si>
  <si>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</si>
  <si>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</si>
  <si>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</si>
  <si>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c) Capital Work in Progress</t>
  </si>
  <si>
    <t>d) Other Intangible Assets</t>
  </si>
  <si>
    <t xml:space="preserve">e) Intangible Assets under Development </t>
  </si>
  <si>
    <t xml:space="preserve">f) Goodwill on Consolidation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</si>
  <si>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</si>
  <si>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</si>
  <si>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</si>
  <si>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</si>
  <si>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</si>
  <si>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</si>
  <si>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</si>
  <si>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>ii) Trade Recievables</t>
  </si>
  <si>
    <t xml:space="preserve">iii)Cash &amp; Cash Equivalents </t>
  </si>
  <si>
    <t xml:space="preserve">i)  Investments </t>
  </si>
  <si>
    <t xml:space="preserve">iv)Bank Balances other than (iii) above </t>
  </si>
  <si>
    <t>v) Loans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</si>
  <si>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</si>
  <si>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</si>
  <si>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</si>
  <si>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</si>
  <si>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</si>
  <si>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</si>
  <si>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</si>
  <si>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</si>
  <si>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</si>
  <si>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</si>
  <si>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</si>
  <si>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</si>
  <si>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</si>
  <si>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</si>
  <si>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</si>
  <si>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</si>
  <si>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</si>
  <si>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</si>
  <si>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</si>
  <si>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j) Other Non Current Assets</t>
  </si>
  <si>
    <t>iii)Other Financial Liabilities</t>
  </si>
  <si>
    <t xml:space="preserve">Revenue from Operations </t>
  </si>
  <si>
    <t>Growth (%)</t>
  </si>
  <si>
    <t xml:space="preserve">CAGR % - 3 Years </t>
  </si>
  <si>
    <t>Cost of Materials Consumed</t>
  </si>
  <si>
    <t>Changes in Inventories of FG, SIT and WIP</t>
  </si>
  <si>
    <t>Purchases of Stock in trade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</si>
  <si>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</si>
  <si>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</si>
  <si>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</si>
  <si>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</si>
  <si>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</si>
  <si>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</si>
  <si>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</si>
  <si>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</si>
  <si>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</si>
  <si>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</t>
  </si>
  <si>
    <t>Tax Expense</t>
  </si>
  <si>
    <t>a) Current</t>
  </si>
  <si>
    <t>Effective tax rate (%)</t>
  </si>
  <si>
    <t>Total Taxes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</si>
  <si>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</si>
  <si>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</si>
  <si>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</si>
  <si>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</si>
  <si>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</si>
  <si>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 xml:space="preserve">Total Other Comprehensive Income 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</si>
  <si>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</si>
  <si>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</si>
  <si>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</si>
  <si>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</si>
  <si>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</si>
  <si>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</si>
  <si>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</si>
  <si>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</si>
  <si>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</si>
  <si>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</si>
  <si>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</si>
  <si>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</si>
  <si>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</si>
  <si>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</si>
  <si>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</si>
  <si>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</si>
  <si>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</si>
  <si>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</si>
  <si>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</si>
  <si>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</si>
  <si>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</si>
  <si>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</si>
  <si>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</si>
  <si>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</si>
  <si>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</si>
  <si>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</si>
  <si>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</si>
  <si>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</si>
  <si>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</si>
  <si>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</si>
  <si>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</si>
  <si>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</si>
  <si>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</si>
  <si>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>BVPS (₹)</t>
  </si>
  <si>
    <t>DPS (₹)</t>
  </si>
  <si>
    <t>EPS (₹)</t>
  </si>
  <si>
    <t>CMP (As per Stock Price at BSE) (₹)</t>
  </si>
  <si>
    <t>Asset Tunover</t>
  </si>
  <si>
    <t>Ratios</t>
  </si>
  <si>
    <t>PAT</t>
  </si>
  <si>
    <t xml:space="preserve">PBT Before Exceptional Items &amp; Tax </t>
  </si>
  <si>
    <t xml:space="preserve">Exceptional Items </t>
  </si>
  <si>
    <t xml:space="preserve">b) Earlier </t>
  </si>
  <si>
    <t>c) Deferred</t>
  </si>
  <si>
    <t>a) Items that will be reclassified to P&amp;L</t>
  </si>
  <si>
    <t>b) Items that may not be reclassified to P&amp;L</t>
  </si>
  <si>
    <t>ii) Lease Liabilities</t>
  </si>
  <si>
    <t xml:space="preserve">iii) Other Financial Liabilities </t>
  </si>
  <si>
    <t>Micro and small enterprise</t>
  </si>
  <si>
    <t>Other</t>
  </si>
  <si>
    <t>d) Current Tax Asset</t>
  </si>
  <si>
    <t>iii) Trade Payables</t>
  </si>
  <si>
    <t>FY24</t>
  </si>
  <si>
    <t>ii) Loan</t>
  </si>
  <si>
    <t>iii) Other Financial Assets</t>
  </si>
  <si>
    <t>No. of Shares</t>
  </si>
  <si>
    <t>Face Value per share</t>
  </si>
  <si>
    <t>Market Cap</t>
  </si>
  <si>
    <t>-</t>
  </si>
  <si>
    <t>FY25</t>
  </si>
  <si>
    <t xml:space="preserve">d) Other Non-current financial Liabilities </t>
  </si>
  <si>
    <t>d) current Tax Liabilities (Net)</t>
  </si>
  <si>
    <t xml:space="preserve">PBT Before share of profit of JV, Exceptional Items &amp; Tax </t>
  </si>
  <si>
    <t>Share of profit/(loss) of JV</t>
  </si>
  <si>
    <t>FY26</t>
  </si>
  <si>
    <t>Foreign Exchange (Gain)/Loss</t>
  </si>
  <si>
    <t>Beta Drugs Limited</t>
  </si>
  <si>
    <t>Particulars</t>
  </si>
  <si>
    <t>Audited (₹)</t>
  </si>
  <si>
    <t>ASSETS</t>
  </si>
  <si>
    <t>Non-current assets</t>
  </si>
  <si>
    <t>Property, Plant and Equipment</t>
  </si>
  <si>
    <t>Intangible assets</t>
  </si>
  <si>
    <t>Capital work-in-progress</t>
  </si>
  <si>
    <t>Financial assets</t>
  </si>
  <si>
    <t>• Investments</t>
  </si>
  <si>
    <t>• Loans</t>
  </si>
  <si>
    <t>• Other Financial Assets</t>
  </si>
  <si>
    <t>Deferred tax assets (net)</t>
  </si>
  <si>
    <t>Other non-current assets</t>
  </si>
  <si>
    <t>Total Non-current assets</t>
  </si>
  <si>
    <t>Current assets</t>
  </si>
  <si>
    <t>Inventories</t>
  </si>
  <si>
    <t>• Trade Receivables</t>
  </si>
  <si>
    <t>• Cash and cash equivalents</t>
  </si>
  <si>
    <t>Other Current assets</t>
  </si>
  <si>
    <t>Total current assets</t>
  </si>
  <si>
    <t>Total assets</t>
  </si>
  <si>
    <t>EQUITY AND LIABILITIES</t>
  </si>
  <si>
    <t>Equity</t>
  </si>
  <si>
    <t>Equity share capital</t>
  </si>
  <si>
    <t>Other equity</t>
  </si>
  <si>
    <t>Non-current liabilities</t>
  </si>
  <si>
    <t>Financial liabilities</t>
  </si>
  <si>
    <t>• Borrowings</t>
  </si>
  <si>
    <t>• Other financial liabilities</t>
  </si>
  <si>
    <t>Provisions</t>
  </si>
  <si>
    <t>Other Non-current liabilities</t>
  </si>
  <si>
    <t>Total Non-current liabilities</t>
  </si>
  <si>
    <t>Current liabilities</t>
  </si>
  <si>
    <t>• Trade payables</t>
  </si>
  <si>
    <t>Other current liabilities</t>
  </si>
  <si>
    <t>Total Current liabilities</t>
  </si>
  <si>
    <t>Total equity and liabilities</t>
  </si>
  <si>
    <t>iv) Deferred tax assets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</si>
</sst>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_ ;_ @_ "/>
    <numFmt numFmtId="166" formatCode="#,##0.0_ ;\-#,##0.0\ "/>
    <numFmt numFmtId="167" formatCode="_ * #,##0_ ;_ * \-#,##0_ ;_ * &quot;-&quot;??_ ;_ @_ "/>
    <numFmt numFmtId="168" formatCode="0.0%"/>
    <numFmt numFmtId="169" formatCode="_ * #,##0.0_ ;_ * \-#,##0.0_ ;_ * &quot;-&quot;??_ ;_ @_ "/>
    <numFmt numFmtId="170" formatCode="#,##0.0"/>
  </numFmts>
  <fonts count="16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MyFirstFont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0" fillId="0" borderId="1" xfId="0" applyBorder="1" applyAlignment="1">
      <alignment horizontal="left" indent="1"/>
    </xf>
    <xf numFmtId="164" fontId="0" fillId="0" borderId="1" xfId="0" applyNumberFormat="1" applyBorder="1"/>
    <xf numFmtId="164" fontId="0" fillId="2" borderId="1" xfId="0" applyNumberFormat="1" applyFill="1" applyBorder="1"/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0" fontId="0" fillId="0" borderId="1" xfId="0" applyBorder="1" applyAlignment="1">
      <alignment horizontal="left"/>
    </xf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43" fontId="0" fillId="0" borderId="1" xfId="0" applyNumberFormat="1" applyBorder="1" applyAlignment="1">
      <alignment horizontal="center" vertical="center"/>
    </xf>
    <xf numFmtId="43" fontId="0" fillId="0" borderId="1" xfId="0" applyNumberFormat="1" applyBorder="1"/>
    <xf numFmtId="0" fontId="0" fillId="3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9" fontId="0" fillId="0" borderId="0" xfId="2" applyFont="1" applyFill="1"/>
    <xf numFmtId="0" fontId="0" fillId="6" borderId="0" xfId="0" applyFill="1"/>
    <xf numFmtId="0" fontId="0" fillId="2" borderId="1" xfId="0" applyFill="1" applyBorder="1"/>
    <xf numFmtId="0" fontId="6" fillId="7" borderId="1" xfId="0" applyFont="1" applyFill="1" applyBorder="1"/>
    <xf numFmtId="10" fontId="8" fillId="7" borderId="1" xfId="0" applyNumberFormat="1" applyFont="1" applyFill="1" applyBorder="1" applyAlignment="1">
      <alignment horizontal="right"/>
    </xf>
    <xf numFmtId="0" fontId="5" fillId="7" borderId="1" xfId="0" applyFont="1" applyFill="1" applyBorder="1"/>
    <xf numFmtId="0" fontId="9" fillId="5" borderId="1" xfId="0" applyFont="1" applyFill="1" applyBorder="1"/>
    <xf numFmtId="0" fontId="9" fillId="2" borderId="1" xfId="0" applyFont="1" applyFill="1" applyBorder="1"/>
    <xf numFmtId="0" fontId="7" fillId="7" borderId="1" xfId="0" applyFont="1" applyFill="1" applyBorder="1"/>
    <xf numFmtId="10" fontId="0" fillId="0" borderId="0" xfId="0" applyNumberFormat="1"/>
    <xf numFmtId="43" fontId="0" fillId="0" borderId="1" xfId="1" applyFont="1" applyFill="1" applyBorder="1"/>
    <xf numFmtId="166" fontId="7" fillId="7" borderId="1" xfId="1" applyNumberFormat="1" applyFont="1" applyFill="1" applyBorder="1"/>
    <xf numFmtId="164" fontId="2" fillId="2" borderId="1" xfId="0" applyNumberFormat="1" applyFont="1" applyFill="1" applyBorder="1"/>
    <xf numFmtId="166" fontId="3" fillId="2" borderId="1" xfId="1" applyNumberFormat="1" applyFont="1" applyFill="1" applyBorder="1"/>
    <xf numFmtId="164" fontId="3" fillId="2" borderId="1" xfId="1" applyNumberFormat="1" applyFont="1" applyFill="1" applyBorder="1"/>
    <xf numFmtId="167" fontId="3" fillId="2" borderId="1" xfId="1" applyNumberFormat="1" applyFont="1" applyFill="1" applyBorder="1"/>
    <xf numFmtId="43" fontId="0" fillId="0" borderId="1" xfId="1" applyFont="1" applyFill="1" applyBorder="1" applyAlignment="1">
      <alignment horizontal="right"/>
    </xf>
    <xf numFmtId="2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right"/>
    </xf>
    <xf numFmtId="167" fontId="0" fillId="0" borderId="1" xfId="1" applyNumberFormat="1" applyFont="1" applyFill="1" applyBorder="1"/>
    <xf numFmtId="43" fontId="0" fillId="0" borderId="1" xfId="1" applyFont="1" applyFill="1" applyBorder="1" applyAlignment="1">
      <alignment wrapText="1"/>
    </xf>
    <xf numFmtId="43" fontId="0" fillId="0" borderId="1" xfId="0" applyNumberFormat="1" applyBorder="1" applyAlignment="1">
      <alignment horizontal="right"/>
    </xf>
    <xf numFmtId="168" fontId="0" fillId="0" borderId="1" xfId="2" applyNumberFormat="1" applyFont="1" applyFill="1" applyBorder="1"/>
    <xf numFmtId="2" fontId="0" fillId="0" borderId="1" xfId="2" applyNumberFormat="1" applyFont="1" applyFill="1" applyBorder="1"/>
    <xf numFmtId="164" fontId="11" fillId="0" borderId="1" xfId="0" applyNumberFormat="1" applyFont="1" applyBorder="1"/>
    <xf numFmtId="164" fontId="12" fillId="2" borderId="1" xfId="0" applyNumberFormat="1" applyFont="1" applyFill="1" applyBorder="1"/>
    <xf numFmtId="10" fontId="13" fillId="7" borderId="1" xfId="0" applyNumberFormat="1" applyFont="1" applyFill="1" applyBorder="1" applyAlignment="1">
      <alignment horizontal="right"/>
    </xf>
    <xf numFmtId="43" fontId="11" fillId="0" borderId="1" xfId="1" applyFont="1" applyBorder="1" applyAlignment="1">
      <alignment horizontal="right"/>
    </xf>
    <xf numFmtId="43" fontId="11" fillId="2" borderId="1" xfId="1" applyFont="1" applyFill="1" applyBorder="1"/>
    <xf numFmtId="43" fontId="11" fillId="0" borderId="1" xfId="1" applyFont="1" applyFill="1" applyBorder="1" applyAlignment="1">
      <alignment horizontal="right"/>
    </xf>
    <xf numFmtId="0" fontId="11" fillId="0" borderId="1" xfId="0" applyFont="1" applyBorder="1"/>
    <xf numFmtId="164" fontId="11" fillId="0" borderId="0" xfId="0" applyNumberFormat="1" applyFont="1"/>
    <xf numFmtId="0" fontId="11" fillId="0" borderId="0" xfId="0" applyFont="1"/>
    <xf numFmtId="2" fontId="11" fillId="0" borderId="1" xfId="0" applyNumberFormat="1" applyFont="1" applyBorder="1"/>
    <xf numFmtId="43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9" fontId="12" fillId="2" borderId="1" xfId="1" applyNumberFormat="1" applyFont="1" applyFill="1" applyBorder="1"/>
    <xf numFmtId="43" fontId="3" fillId="2" borderId="1" xfId="1" applyFont="1" applyFill="1" applyBorder="1"/>
    <xf numFmtId="43" fontId="0" fillId="0" borderId="1" xfId="1" applyFont="1" applyBorder="1"/>
    <xf numFmtId="43" fontId="2" fillId="2" borderId="1" xfId="1" applyFont="1" applyFill="1" applyBorder="1"/>
    <xf numFmtId="43" fontId="2" fillId="0" borderId="1" xfId="1" applyFont="1" applyBorder="1"/>
    <xf numFmtId="2" fontId="12" fillId="2" borderId="1" xfId="0" applyNumberFormat="1" applyFont="1" applyFill="1" applyBorder="1"/>
    <xf numFmtId="169" fontId="11" fillId="0" borderId="1" xfId="0" applyNumberFormat="1" applyFont="1" applyBorder="1"/>
    <xf numFmtId="169" fontId="11" fillId="0" borderId="1" xfId="1" applyNumberFormat="1" applyFont="1" applyFill="1" applyBorder="1" applyAlignment="1">
      <alignment horizontal="right" indent="2"/>
    </xf>
    <xf numFmtId="2" fontId="0" fillId="0" borderId="0" xfId="0" applyNumberFormat="1"/>
    <xf numFmtId="169" fontId="2" fillId="2" borderId="1" xfId="1" applyNumberFormat="1" applyFont="1" applyFill="1" applyBorder="1"/>
    <xf numFmtId="164" fontId="12" fillId="2" borderId="1" xfId="0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" fontId="15" fillId="0" borderId="0" xfId="0" applyNumberFormat="1" applyFont="1"/>
    <xf numFmtId="170" fontId="10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43" fontId="0" fillId="0" borderId="0" xfId="1" applyFont="1"/>
    <xf numFmtId="0" fontId="0" fillId="3" borderId="1" xfId="0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13"/>
  <sheetViews>
    <sheetView tabSelected="1" zoomScaleNormal="100" workbookViewId="0">
      <pane ySplit="4" topLeftCell="A5" activePane="bottomLeft" state="frozen"/>
      <selection pane="bottomLeft" activeCell="D13" sqref="D13"/>
    </sheetView>
  </sheetViews>
  <sheetFormatPr defaultRowHeight="14.4"/>
  <cols>
    <col min="2" max="2" width="50.6640625" customWidth="1"/>
    <col min="3" max="3" width="14.33203125" bestFit="1" customWidth="1"/>
    <col min="4" max="5" width="13.88671875" bestFit="1" customWidth="1"/>
    <col min="6" max="6" width="12.6640625" customWidth="1"/>
    <col min="7" max="7" width="4.109375" customWidth="1"/>
    <col min="8" max="8" width="50.6640625" customWidth="1"/>
    <col min="9" max="9" width="14.33203125" bestFit="1" customWidth="1"/>
    <col min="10" max="10" width="14.5546875" bestFit="1" customWidth="1"/>
    <col min="11" max="11" width="14.33203125" bestFit="1" customWidth="1"/>
    <col min="12" max="12" width="17" bestFit="1" customWidth="1"/>
  </cols>
  <sheetData>
    <row r="2" spans="1:12" ht="19.5" customHeight="1">
      <c r="B2" s="75" t="s">
        <v>143</v>
      </c>
      <c r="C2" s="75"/>
      <c r="D2" s="75"/>
      <c r="E2" s="75"/>
      <c r="F2" s="75"/>
      <c r="G2" s="75"/>
      <c r="H2" s="75"/>
      <c r="I2" s="75"/>
      <c r="J2" s="75"/>
      <c r="K2" s="75"/>
    </row>
    <row r="3" spans="1:12" ht="14.25" customHeight="1">
      <c r="B3" s="76" t="s">
        <v>48</v>
      </c>
      <c r="C3" s="77"/>
      <c r="D3" s="77"/>
      <c r="E3" s="77"/>
      <c r="F3" s="77"/>
      <c r="G3" s="21"/>
      <c r="H3" s="73" t="s">
        <v>47</v>
      </c>
      <c r="I3" s="74"/>
      <c r="J3" s="74"/>
      <c r="K3" s="74"/>
    </row>
    <row r="4" spans="1:12">
      <c r="B4" s="16" t="s">
        <v>0</v>
      </c>
      <c r="C4" s="84" t="s">
        <v>1</v>
      </c>
      <c r="D4" s="84" t="s">
        <v>129</v>
      </c>
      <c r="E4" s="84" t="s">
        <v>136</v>
      </c>
      <c r="F4" s="84" t="s">
        <v>141</v>
      </c>
      <c r="G4" s="21"/>
      <c r="H4" s="16" t="s">
        <v>0</v>
      </c>
      <c r="I4" s="84" t="s">
        <v>1</v>
      </c>
      <c r="J4" s="84" t="s">
        <v>129</v>
      </c>
      <c r="K4" s="84" t="s">
        <v>136</v>
      </c>
      <c r="L4" s="84" t="s">
        <v>141</v>
      </c>
    </row>
    <row r="5" spans="1:12">
      <c r="B5" s="8" t="s">
        <v>51</v>
      </c>
      <c r="C5" s="62">
        <v>2271.136</v>
      </c>
      <c r="D5" s="62">
        <v>2957.1379999999999</v>
      </c>
      <c r="E5" s="62">
        <v>3623.56</v>
      </c>
      <c r="F5" s="62">
        <v>3848.2576673200001</v>
      </c>
      <c r="G5" s="21"/>
      <c r="H5" s="1" t="s">
        <v>2</v>
      </c>
      <c r="I5" s="4">
        <v>96.138000000000005</v>
      </c>
      <c r="J5" s="4">
        <v>96.138000000000005</v>
      </c>
      <c r="K5" s="83">
        <v>100.94553000000001</v>
      </c>
      <c r="L5" s="83">
        <v>101.3689</v>
      </c>
    </row>
    <row r="6" spans="1:12">
      <c r="B6" s="25" t="s">
        <v>52</v>
      </c>
      <c r="C6" s="24"/>
      <c r="D6" s="24">
        <f>IF(D5/C5-1&gt;100%,"N.A.",IF(D5/C5-1&lt;-100%,"N.A.",(D5/C5-1)))</f>
        <v>0.30205236498386712</v>
      </c>
      <c r="E6" s="24">
        <f t="shared" ref="E6:F6" si="0">IF(E5/D5-1&gt;100%,"N.A.",IF(E5/D5-1&lt;-100%,"N.A.",(E5/D5-1)))</f>
        <v>0.22536046677564592</v>
      </c>
      <c r="F6" s="24">
        <f t="shared" si="0"/>
        <v>6.2010196414575836E-2</v>
      </c>
      <c r="G6" s="21"/>
      <c r="H6" s="1" t="s">
        <v>6</v>
      </c>
      <c r="I6" s="61">
        <v>1132.704</v>
      </c>
      <c r="J6" s="61">
        <v>1475.0309999999999</v>
      </c>
      <c r="K6" s="83">
        <v>1870.0121353499999</v>
      </c>
      <c r="L6" s="83">
        <v>2346.3361949499999</v>
      </c>
    </row>
    <row r="7" spans="1:12">
      <c r="B7" s="25" t="s">
        <v>53</v>
      </c>
      <c r="C7" s="24"/>
      <c r="D7" s="24"/>
      <c r="E7" s="24"/>
      <c r="F7" s="24">
        <f>_xlfn.RRI(3,C5,F5)</f>
        <v>0.19217588826468135</v>
      </c>
      <c r="G7" s="21"/>
      <c r="H7" s="8" t="s">
        <v>7</v>
      </c>
      <c r="I7" s="62">
        <f t="shared" ref="I7" si="1">SUM(I5:I6)+I9</f>
        <v>1228.8419999999999</v>
      </c>
      <c r="J7" s="62">
        <f>SUM(J5:J6)+J9</f>
        <v>1571.1689999999999</v>
      </c>
      <c r="K7" s="62">
        <f>SUM(K5:K6)+K9</f>
        <v>1970.9576653499998</v>
      </c>
      <c r="L7" s="62">
        <f>SUM(L5:L6)+L9</f>
        <v>2447.7050949499999</v>
      </c>
    </row>
    <row r="8" spans="1:12">
      <c r="A8" s="7"/>
      <c r="B8" s="9" t="s">
        <v>54</v>
      </c>
      <c r="C8" s="4">
        <v>1104.0219999999999</v>
      </c>
      <c r="D8" s="4">
        <v>1676.473</v>
      </c>
      <c r="E8" s="4">
        <v>1757.78</v>
      </c>
      <c r="F8" s="4">
        <v>1738.14350128</v>
      </c>
      <c r="G8" s="21"/>
      <c r="H8" s="8" t="s">
        <v>8</v>
      </c>
      <c r="I8" s="62">
        <f>SUM(I5:I6)</f>
        <v>1228.8419999999999</v>
      </c>
      <c r="J8" s="62">
        <f>SUM(J5:J6)</f>
        <v>1571.1689999999999</v>
      </c>
      <c r="K8" s="62">
        <f>SUM(K5:K6)</f>
        <v>1970.9576653499998</v>
      </c>
      <c r="L8" s="62">
        <f>SUM(L5:L6)</f>
        <v>2447.7050949499999</v>
      </c>
    </row>
    <row r="9" spans="1:12">
      <c r="B9" s="9" t="s">
        <v>56</v>
      </c>
      <c r="C9" s="4">
        <v>0</v>
      </c>
      <c r="D9" s="4">
        <v>0</v>
      </c>
      <c r="E9" s="4">
        <v>0</v>
      </c>
      <c r="F9" s="4">
        <v>0</v>
      </c>
      <c r="G9" s="21"/>
      <c r="H9" s="1" t="s">
        <v>9</v>
      </c>
      <c r="I9" s="12">
        <v>0</v>
      </c>
      <c r="J9" s="12">
        <v>0</v>
      </c>
      <c r="K9" s="12">
        <v>0</v>
      </c>
      <c r="L9" s="12">
        <v>0</v>
      </c>
    </row>
    <row r="10" spans="1:12">
      <c r="B10" s="9" t="s">
        <v>55</v>
      </c>
      <c r="C10" s="4">
        <v>-47.128</v>
      </c>
      <c r="D10" s="4">
        <v>-182.37799999999999</v>
      </c>
      <c r="E10" s="4">
        <v>-44.24</v>
      </c>
      <c r="F10" s="4">
        <v>-26.345192000000001</v>
      </c>
      <c r="G10" s="21"/>
      <c r="H10" s="1" t="s">
        <v>3</v>
      </c>
      <c r="I10" s="4">
        <f>I47</f>
        <v>69.73</v>
      </c>
      <c r="J10" s="4">
        <f t="shared" ref="J10:L10" si="2">J47</f>
        <v>60.406999999999996</v>
      </c>
      <c r="K10" s="4">
        <f t="shared" si="2"/>
        <v>1269.9438012200001</v>
      </c>
      <c r="L10" s="4">
        <f t="shared" si="2"/>
        <v>1333.24651913</v>
      </c>
    </row>
    <row r="11" spans="1:12">
      <c r="B11" s="9" t="s">
        <v>57</v>
      </c>
      <c r="C11" s="4">
        <v>226.96799999999999</v>
      </c>
      <c r="D11" s="4">
        <v>258.86799999999999</v>
      </c>
      <c r="E11" s="4">
        <v>555.14</v>
      </c>
      <c r="F11" s="4">
        <v>680.06143373999998</v>
      </c>
      <c r="G11" s="21"/>
      <c r="H11" s="1" t="s">
        <v>4</v>
      </c>
      <c r="I11" s="61">
        <f>I56</f>
        <v>90.685000000000002</v>
      </c>
      <c r="J11" s="61">
        <f t="shared" ref="J11:L11" si="3">J56</f>
        <v>49.57</v>
      </c>
      <c r="K11" s="61">
        <f t="shared" si="3"/>
        <v>110.61025084000001</v>
      </c>
      <c r="L11" s="61">
        <f t="shared" si="3"/>
        <v>144.82065600000001</v>
      </c>
    </row>
    <row r="12" spans="1:12">
      <c r="B12" s="9" t="s">
        <v>58</v>
      </c>
      <c r="C12" s="4">
        <v>455.99599999999998</v>
      </c>
      <c r="D12" s="4">
        <v>604.19899999999996</v>
      </c>
      <c r="E12" s="4">
        <v>608.83000000000004</v>
      </c>
      <c r="F12" s="4">
        <v>699.61774586000001</v>
      </c>
      <c r="G12" s="21"/>
      <c r="H12" s="8" t="s">
        <v>10</v>
      </c>
      <c r="I12" s="32">
        <f t="shared" ref="I12" si="4">SUM(I10:I11)</f>
        <v>160.41500000000002</v>
      </c>
      <c r="J12" s="32">
        <f>SUM(J10:J11)</f>
        <v>109.977</v>
      </c>
      <c r="K12" s="32">
        <f>SUM(K10:K11)</f>
        <v>1380.55405206</v>
      </c>
      <c r="L12" s="32">
        <f>SUM(L10:L11)</f>
        <v>1478.0671751300001</v>
      </c>
    </row>
    <row r="13" spans="1:12">
      <c r="A13" s="29"/>
      <c r="B13" s="8" t="s">
        <v>59</v>
      </c>
      <c r="C13" s="32">
        <f>C5-SUM(C8:C12)</f>
        <v>531.27799999999979</v>
      </c>
      <c r="D13" s="32">
        <f>D5-SUM(D8:D12)</f>
        <v>599.97600000000011</v>
      </c>
      <c r="E13" s="32">
        <f>E5-SUM(E8:E12)</f>
        <v>746.05000000000018</v>
      </c>
      <c r="F13" s="47">
        <f>F5-SUM(F8:F12)</f>
        <v>756.78017844000033</v>
      </c>
      <c r="G13" s="21"/>
      <c r="H13" s="1"/>
      <c r="I13" s="4"/>
      <c r="J13" s="4"/>
      <c r="K13" s="4"/>
      <c r="L13" s="4"/>
    </row>
    <row r="14" spans="1:12">
      <c r="B14" s="23" t="s">
        <v>60</v>
      </c>
      <c r="C14" s="24">
        <f>IF(C13/C5&gt;100%,"N.A",IF(C13/C5&lt;-100%,"N.A.",(C13/C5)))</f>
        <v>0.23392610570216835</v>
      </c>
      <c r="D14" s="24">
        <f t="shared" ref="D14:F14" si="5">IF(D13/D5&gt;100%,"N.A",IF(D13/D5&lt;-100%,"N.A.",(D13/D5)))</f>
        <v>0.2028907680331456</v>
      </c>
      <c r="E14" s="24">
        <f t="shared" si="5"/>
        <v>0.20588868405656321</v>
      </c>
      <c r="F14" s="24">
        <f t="shared" si="5"/>
        <v>0.19665527723538234</v>
      </c>
      <c r="G14" s="21"/>
      <c r="H14" s="8" t="s">
        <v>5</v>
      </c>
      <c r="I14" s="32">
        <f>I8+I12</f>
        <v>1389.2569999999998</v>
      </c>
      <c r="J14" s="32">
        <f>J8+J12</f>
        <v>1681.146</v>
      </c>
      <c r="K14" s="32">
        <f>K8+K12</f>
        <v>3351.5117174099996</v>
      </c>
      <c r="L14" s="32">
        <f>L8+L12</f>
        <v>3925.77227008</v>
      </c>
    </row>
    <row r="15" spans="1:12">
      <c r="A15" s="7"/>
      <c r="B15" s="23" t="s">
        <v>52</v>
      </c>
      <c r="C15" s="24"/>
      <c r="D15" s="24">
        <f>IF(D13/C13-1&gt;100%,("N.A."),IF(D13/C13-1&lt;-100%,("N.A."),(D13/C13-1)))</f>
        <v>0.12930706710987527</v>
      </c>
      <c r="E15" s="24">
        <f t="shared" ref="E15:F15" si="6">IF(E13/D13-1&gt;100%,("N.A."),IF(E13/D13-1&lt;-100%,("N.A."),(E13/D13-1)))</f>
        <v>0.24346640532287966</v>
      </c>
      <c r="F15" s="24">
        <f t="shared" si="6"/>
        <v>1.4382653226995723E-2</v>
      </c>
      <c r="G15" s="21"/>
      <c r="H15" s="1"/>
      <c r="I15" s="4"/>
      <c r="J15" s="4"/>
      <c r="K15" s="4"/>
      <c r="L15" s="4"/>
    </row>
    <row r="16" spans="1:12">
      <c r="B16" s="23" t="s">
        <v>61</v>
      </c>
      <c r="C16" s="24"/>
      <c r="D16" s="24"/>
      <c r="E16" s="24"/>
      <c r="F16" s="24">
        <f>IF((F13/C13)^(1/3)-1&lt;-100%,"N.A.",IF((F13/C13)^(1/3)-1&gt;100%,"N.A.",((F13/C13)^(1/3)-1)))</f>
        <v>0.12516437241235123</v>
      </c>
      <c r="G16" s="21"/>
      <c r="H16" s="8" t="s">
        <v>11</v>
      </c>
      <c r="I16" s="5"/>
      <c r="J16" s="5"/>
      <c r="K16" s="5"/>
      <c r="L16" s="5"/>
    </row>
    <row r="17" spans="2:12">
      <c r="B17" s="1" t="s">
        <v>62</v>
      </c>
      <c r="C17" s="4">
        <v>7.5350000000000001</v>
      </c>
      <c r="D17" s="4">
        <v>13.589</v>
      </c>
      <c r="E17" s="4">
        <v>64.37</v>
      </c>
      <c r="F17" s="4">
        <v>111.79655118000001</v>
      </c>
      <c r="G17" s="21"/>
      <c r="H17" s="1"/>
      <c r="I17" s="1"/>
      <c r="J17" s="1"/>
      <c r="K17" s="1"/>
      <c r="L17" s="1"/>
    </row>
    <row r="18" spans="2:12">
      <c r="B18" s="9" t="s">
        <v>142</v>
      </c>
      <c r="C18" s="10">
        <v>0</v>
      </c>
      <c r="D18" s="10">
        <v>0</v>
      </c>
      <c r="E18" s="4">
        <v>0</v>
      </c>
      <c r="F18" s="4">
        <v>0</v>
      </c>
      <c r="G18" s="21"/>
      <c r="H18" s="6" t="s">
        <v>22</v>
      </c>
      <c r="I18" s="4"/>
      <c r="J18" s="4"/>
      <c r="K18" s="4"/>
      <c r="L18" s="4"/>
    </row>
    <row r="19" spans="2:12">
      <c r="B19" s="1" t="s">
        <v>63</v>
      </c>
      <c r="C19" s="4">
        <v>104.1</v>
      </c>
      <c r="D19" s="4">
        <v>97.822999999999993</v>
      </c>
      <c r="E19" s="4">
        <v>125.14</v>
      </c>
      <c r="F19" s="4">
        <v>171.5285341</v>
      </c>
      <c r="G19" s="21"/>
      <c r="H19" s="1" t="s">
        <v>12</v>
      </c>
      <c r="I19" s="61">
        <v>580.94600000000003</v>
      </c>
      <c r="J19" s="61">
        <v>592.02599999999995</v>
      </c>
      <c r="K19" s="4">
        <v>803.61913947000005</v>
      </c>
      <c r="L19" s="4">
        <v>1153.6789608499998</v>
      </c>
    </row>
    <row r="20" spans="2:12">
      <c r="B20" s="1" t="s">
        <v>64</v>
      </c>
      <c r="C20" s="4">
        <v>24.148</v>
      </c>
      <c r="D20" s="4">
        <v>28.199000000000002</v>
      </c>
      <c r="E20" s="4">
        <v>69.89</v>
      </c>
      <c r="F20" s="4">
        <v>153.11027433000001</v>
      </c>
      <c r="G20" s="21"/>
      <c r="H20" s="1" t="s">
        <v>13</v>
      </c>
      <c r="I20" s="4"/>
      <c r="J20" s="4"/>
      <c r="K20" s="4"/>
      <c r="L20" s="4"/>
    </row>
    <row r="21" spans="2:12">
      <c r="B21" s="8" t="s">
        <v>139</v>
      </c>
      <c r="C21" s="59">
        <f t="shared" ref="C21:E21" si="7">C13+C17-C19-C20-C18</f>
        <v>410.56499999999971</v>
      </c>
      <c r="D21" s="59">
        <f t="shared" si="7"/>
        <v>487.54300000000018</v>
      </c>
      <c r="E21" s="59">
        <f t="shared" si="7"/>
        <v>615.39000000000021</v>
      </c>
      <c r="F21" s="59">
        <f>F13+F17-F19-F20-F18</f>
        <v>543.93792119000034</v>
      </c>
      <c r="G21" s="21"/>
      <c r="H21" s="1" t="s">
        <v>14</v>
      </c>
      <c r="I21" s="4"/>
      <c r="J21" s="4"/>
      <c r="K21" s="4"/>
      <c r="L21" s="4"/>
    </row>
    <row r="22" spans="2:12">
      <c r="B22" s="1" t="s">
        <v>118</v>
      </c>
      <c r="C22" s="13">
        <v>0</v>
      </c>
      <c r="D22" s="13">
        <v>0</v>
      </c>
      <c r="E22" s="65">
        <v>45.695656</v>
      </c>
      <c r="F22" s="65">
        <v>0</v>
      </c>
      <c r="G22" s="21"/>
      <c r="H22" s="1" t="s">
        <v>15</v>
      </c>
      <c r="I22" s="4">
        <v>46.622999999999998</v>
      </c>
      <c r="J22" s="4">
        <v>53.878999999999998</v>
      </c>
      <c r="K22" s="4">
        <v>85.729988910000003</v>
      </c>
      <c r="L22" s="4">
        <v>98.957670739999998</v>
      </c>
    </row>
    <row r="23" spans="2:12">
      <c r="B23" s="8" t="s">
        <v>117</v>
      </c>
      <c r="C23" s="58">
        <f>C21</f>
        <v>410.56499999999971</v>
      </c>
      <c r="D23" s="58">
        <f t="shared" ref="D23" si="8">D21</f>
        <v>487.54300000000018</v>
      </c>
      <c r="E23" s="69">
        <f>E21-E22</f>
        <v>569.69434400000023</v>
      </c>
      <c r="F23" s="47">
        <f>F21-F22</f>
        <v>543.93792119000034</v>
      </c>
      <c r="G23" s="21"/>
      <c r="H23" s="1" t="s">
        <v>16</v>
      </c>
      <c r="I23" s="4"/>
      <c r="J23" s="4"/>
      <c r="K23" s="4"/>
      <c r="L23" s="4"/>
    </row>
    <row r="24" spans="2:12">
      <c r="B24" s="1" t="s">
        <v>140</v>
      </c>
      <c r="C24" s="57" t="s">
        <v>135</v>
      </c>
      <c r="D24" s="57" t="s">
        <v>135</v>
      </c>
      <c r="E24" s="70">
        <v>0</v>
      </c>
      <c r="F24" s="46">
        <v>0</v>
      </c>
      <c r="G24" s="21"/>
      <c r="H24" s="1" t="s">
        <v>17</v>
      </c>
      <c r="I24" s="4"/>
      <c r="J24" s="4"/>
      <c r="K24" s="4"/>
      <c r="L24" s="4"/>
    </row>
    <row r="25" spans="2:12">
      <c r="B25" s="8" t="s">
        <v>65</v>
      </c>
      <c r="C25" s="32">
        <f>C21+C22</f>
        <v>410.56499999999971</v>
      </c>
      <c r="D25" s="32">
        <f>D21+D22</f>
        <v>487.54300000000018</v>
      </c>
      <c r="E25" s="32">
        <f>E23-E24</f>
        <v>569.69434400000023</v>
      </c>
      <c r="F25" s="32">
        <f>F23+F24</f>
        <v>543.93792119000034</v>
      </c>
      <c r="G25" s="21"/>
      <c r="H25" s="1" t="s">
        <v>18</v>
      </c>
      <c r="I25" s="4"/>
      <c r="J25" s="4"/>
      <c r="K25" s="4"/>
      <c r="L25" s="4"/>
    </row>
    <row r="26" spans="2:12">
      <c r="B26" s="1" t="s">
        <v>67</v>
      </c>
      <c r="C26" s="4"/>
      <c r="D26" s="4"/>
      <c r="E26" s="46"/>
      <c r="F26" s="46"/>
      <c r="G26" s="21"/>
      <c r="H26" s="1" t="s">
        <v>19</v>
      </c>
      <c r="I26" s="4">
        <v>7.79</v>
      </c>
      <c r="J26" s="4" t="s">
        <v>135</v>
      </c>
      <c r="K26" s="4"/>
      <c r="L26" s="4"/>
    </row>
    <row r="27" spans="2:12">
      <c r="B27" s="1" t="s">
        <v>68</v>
      </c>
      <c r="C27" s="4">
        <v>108.58499999999999</v>
      </c>
      <c r="D27" s="4">
        <v>125.277</v>
      </c>
      <c r="E27" s="46"/>
      <c r="F27" s="46"/>
      <c r="G27" s="21"/>
      <c r="H27" s="1" t="s">
        <v>130</v>
      </c>
      <c r="I27" s="4">
        <v>59.503</v>
      </c>
      <c r="J27" s="4">
        <v>101.69199999999999</v>
      </c>
      <c r="K27" s="4"/>
      <c r="L27" s="4"/>
    </row>
    <row r="28" spans="2:12">
      <c r="B28" s="1" t="s">
        <v>119</v>
      </c>
      <c r="C28" s="4">
        <v>0</v>
      </c>
      <c r="D28" s="12">
        <v>0</v>
      </c>
      <c r="E28" s="56"/>
      <c r="F28" s="56"/>
      <c r="G28" s="21"/>
      <c r="H28" s="1" t="s">
        <v>131</v>
      </c>
      <c r="I28" s="4">
        <v>12.006</v>
      </c>
      <c r="J28" s="4">
        <v>14.11</v>
      </c>
      <c r="K28" s="4">
        <v>141.39155932</v>
      </c>
      <c r="L28" s="4">
        <v>179.55953857</v>
      </c>
    </row>
    <row r="29" spans="2:12">
      <c r="B29" s="1" t="s">
        <v>120</v>
      </c>
      <c r="C29" s="4">
        <v>-5.2069999999999999</v>
      </c>
      <c r="D29" s="4">
        <v>-2.1040000000000001</v>
      </c>
      <c r="E29" s="46"/>
      <c r="F29" s="46"/>
      <c r="G29" s="21"/>
      <c r="H29" s="1" t="s">
        <v>181</v>
      </c>
      <c r="I29" s="4"/>
      <c r="J29" s="4"/>
      <c r="K29" s="4">
        <v>18.28556158</v>
      </c>
      <c r="L29" s="4">
        <v>25.226354659999998</v>
      </c>
    </row>
    <row r="30" spans="2:12">
      <c r="B30" s="1" t="s">
        <v>70</v>
      </c>
      <c r="C30" s="4">
        <f>SUM(C27:C29)</f>
        <v>103.378</v>
      </c>
      <c r="D30" s="4">
        <f>SUM(D27:D29)</f>
        <v>123.173</v>
      </c>
      <c r="E30" s="46">
        <v>145.5</v>
      </c>
      <c r="F30" s="46">
        <v>129.11095227999999</v>
      </c>
      <c r="G30" s="21"/>
      <c r="H30" s="1" t="s">
        <v>49</v>
      </c>
      <c r="I30" s="4">
        <v>0.5</v>
      </c>
      <c r="J30" s="4">
        <v>0.6</v>
      </c>
      <c r="K30" s="4">
        <v>109.43904636000001</v>
      </c>
      <c r="L30" s="4">
        <v>148.96736946000001</v>
      </c>
    </row>
    <row r="31" spans="2:12">
      <c r="B31" s="23" t="s">
        <v>69</v>
      </c>
      <c r="C31" s="24">
        <f>C30/C25</f>
        <v>0.25179447834082319</v>
      </c>
      <c r="D31" s="24">
        <f>D30/D25</f>
        <v>0.25264027993428262</v>
      </c>
      <c r="E31" s="48">
        <f>E30/E25</f>
        <v>0.25540011329303269</v>
      </c>
      <c r="F31" s="48">
        <f>F30/F25</f>
        <v>0.23736339617127167</v>
      </c>
      <c r="G31" s="21"/>
      <c r="H31" s="8" t="s">
        <v>20</v>
      </c>
      <c r="I31" s="62">
        <f>SUM(I19:I30)</f>
        <v>707.36800000000005</v>
      </c>
      <c r="J31" s="62">
        <f>SUM(J19:J30)</f>
        <v>762.30700000000002</v>
      </c>
      <c r="K31" s="62">
        <f>SUM(K19:K30)</f>
        <v>1158.46529564</v>
      </c>
      <c r="L31" s="62">
        <f>SUM(L19:L30)</f>
        <v>1606.3898942799999</v>
      </c>
    </row>
    <row r="32" spans="2:12">
      <c r="B32" s="2" t="s">
        <v>116</v>
      </c>
      <c r="C32" s="32">
        <f>C25-C30</f>
        <v>307.18699999999973</v>
      </c>
      <c r="D32" s="32">
        <f>D25-D30</f>
        <v>364.37000000000018</v>
      </c>
      <c r="E32" s="47">
        <f>E25-E30</f>
        <v>424.19434400000023</v>
      </c>
      <c r="F32" s="47">
        <f>F25-F30</f>
        <v>414.82696891000035</v>
      </c>
      <c r="G32" s="21"/>
      <c r="H32" s="1"/>
      <c r="I32" s="1"/>
      <c r="J32" s="1"/>
      <c r="K32" s="1"/>
      <c r="L32" s="1"/>
    </row>
    <row r="33" spans="2:12">
      <c r="B33" s="26" t="s">
        <v>71</v>
      </c>
      <c r="C33" s="10">
        <v>0</v>
      </c>
      <c r="D33" s="10">
        <v>0</v>
      </c>
      <c r="E33" s="49">
        <v>0</v>
      </c>
      <c r="F33" s="49">
        <v>0</v>
      </c>
      <c r="G33" s="21"/>
      <c r="H33" s="6" t="s">
        <v>21</v>
      </c>
      <c r="I33" s="4"/>
      <c r="J33" s="4"/>
      <c r="K33" s="4"/>
      <c r="L33" s="4"/>
    </row>
    <row r="34" spans="2:12">
      <c r="B34" s="1" t="s">
        <v>66</v>
      </c>
      <c r="C34" s="10">
        <v>0</v>
      </c>
      <c r="D34" s="10">
        <v>0</v>
      </c>
      <c r="E34" s="49">
        <v>0</v>
      </c>
      <c r="F34" s="49">
        <v>0</v>
      </c>
      <c r="G34" s="21"/>
      <c r="H34" s="1" t="s">
        <v>23</v>
      </c>
      <c r="I34" s="61">
        <v>306.18700000000001</v>
      </c>
      <c r="J34" s="61">
        <v>498.12200000000001</v>
      </c>
      <c r="K34" s="4">
        <v>597.72588599999995</v>
      </c>
      <c r="L34" s="4">
        <v>744.63938900000005</v>
      </c>
    </row>
    <row r="35" spans="2:12">
      <c r="B35" s="27" t="s">
        <v>72</v>
      </c>
      <c r="C35" s="11">
        <f t="shared" ref="C35:D35" si="9">C33-C34</f>
        <v>0</v>
      </c>
      <c r="D35" s="11">
        <f t="shared" si="9"/>
        <v>0</v>
      </c>
      <c r="E35" s="50">
        <f t="shared" ref="E35" si="10">E33-E34</f>
        <v>0</v>
      </c>
      <c r="F35" s="50">
        <v>0</v>
      </c>
      <c r="G35" s="21"/>
      <c r="H35" s="1" t="s">
        <v>24</v>
      </c>
      <c r="I35" s="4"/>
      <c r="J35" s="4"/>
      <c r="K35" s="4"/>
      <c r="L35" s="4"/>
    </row>
    <row r="36" spans="2:12">
      <c r="B36" s="2" t="s">
        <v>73</v>
      </c>
      <c r="C36" s="32">
        <f>C32+C35</f>
        <v>307.18699999999973</v>
      </c>
      <c r="D36" s="32">
        <f>D32+D35</f>
        <v>364.37000000000018</v>
      </c>
      <c r="E36" s="47">
        <f>E32+E35</f>
        <v>424.19434400000023</v>
      </c>
      <c r="F36" s="47">
        <f>F32+F35</f>
        <v>414.82696891000035</v>
      </c>
      <c r="G36" s="21"/>
      <c r="H36" s="1" t="s">
        <v>27</v>
      </c>
      <c r="I36" s="4"/>
      <c r="J36" s="4"/>
      <c r="K36" s="4"/>
      <c r="L36" s="4"/>
    </row>
    <row r="37" spans="2:12">
      <c r="B37" s="23" t="s">
        <v>74</v>
      </c>
      <c r="C37" s="24">
        <f>IF(C36/C5&gt;100%,"N.A.",IF(C36/C5&lt;-100%,"N.A.",(C36/C5)))</f>
        <v>0.13525698152818666</v>
      </c>
      <c r="D37" s="24">
        <f t="shared" ref="D37:F37" si="11">IF(D36/D5&gt;100%,"N.A.",IF(D36/D5&lt;-100%,"N.A.",(D36/D5)))</f>
        <v>0.12321711059815274</v>
      </c>
      <c r="E37" s="24">
        <f t="shared" si="11"/>
        <v>0.1170656326927111</v>
      </c>
      <c r="F37" s="24">
        <f t="shared" si="11"/>
        <v>0.10779604817857577</v>
      </c>
      <c r="G37" s="21"/>
      <c r="H37" s="1" t="s">
        <v>25</v>
      </c>
      <c r="I37" s="61">
        <v>627.22699999999998</v>
      </c>
      <c r="J37" s="61">
        <v>792.399</v>
      </c>
      <c r="K37" s="4">
        <v>1025.78363663</v>
      </c>
      <c r="L37" s="4">
        <v>1191.3092645499999</v>
      </c>
    </row>
    <row r="38" spans="2:12">
      <c r="B38" s="23" t="s">
        <v>52</v>
      </c>
      <c r="C38" s="24"/>
      <c r="D38" s="24">
        <f>IF(D36/C36-1&gt;100%,"N.A.",IF(D36/C36-1&lt;-100%,"N.A.",D36/C36-1))</f>
        <v>0.18615045558568721</v>
      </c>
      <c r="E38" s="24">
        <f t="shared" ref="E38:F38" si="12">IF(E36/D36-1&gt;100%,"N.A.",IF(E36/D36-1&lt;-100%,"N.A.",E36/D36-1))</f>
        <v>0.16418570134753141</v>
      </c>
      <c r="F38" s="24">
        <f t="shared" si="12"/>
        <v>-2.208274396511023E-2</v>
      </c>
      <c r="G38" s="21"/>
      <c r="H38" s="1" t="s">
        <v>26</v>
      </c>
      <c r="I38" s="4">
        <v>191.64</v>
      </c>
      <c r="J38" s="4">
        <v>286.32499999999999</v>
      </c>
      <c r="K38" s="4">
        <v>1470.23862472</v>
      </c>
      <c r="L38" s="4">
        <v>1248.47980579</v>
      </c>
    </row>
    <row r="39" spans="2:12">
      <c r="B39" s="23" t="s">
        <v>61</v>
      </c>
      <c r="C39" s="24"/>
      <c r="D39" s="24"/>
      <c r="E39" s="24"/>
      <c r="F39" s="24">
        <f>IF((F36/C36)^(1/3)-1&lt;-100%,"N.A.",IF((F36/C36)^(1/3)-1&gt;100%,"N.A.",((F36/C36)^(1/3)-1)))</f>
        <v>0.10532005556544233</v>
      </c>
      <c r="G39" s="21"/>
      <c r="H39" s="1" t="s">
        <v>28</v>
      </c>
      <c r="I39" s="4"/>
      <c r="J39" s="4"/>
      <c r="K39" s="4"/>
      <c r="L39" s="4"/>
    </row>
    <row r="40" spans="2:12">
      <c r="B40" s="1" t="s">
        <v>75</v>
      </c>
      <c r="C40" s="4"/>
      <c r="D40" s="4"/>
      <c r="E40" s="46"/>
      <c r="F40" s="46"/>
      <c r="G40" s="21"/>
      <c r="H40" s="1" t="s">
        <v>29</v>
      </c>
      <c r="I40" s="4">
        <v>60.902000000000001</v>
      </c>
      <c r="J40" s="4">
        <v>71.522999999999996</v>
      </c>
      <c r="K40" s="4"/>
      <c r="L40" s="4"/>
    </row>
    <row r="41" spans="2:12">
      <c r="B41" s="1" t="s">
        <v>121</v>
      </c>
      <c r="C41" s="4">
        <v>0</v>
      </c>
      <c r="D41" s="4">
        <v>0</v>
      </c>
      <c r="E41" s="46">
        <v>0</v>
      </c>
      <c r="F41" s="46">
        <v>0</v>
      </c>
      <c r="G41" s="21"/>
      <c r="H41" s="1" t="s">
        <v>30</v>
      </c>
      <c r="I41" s="4"/>
      <c r="J41" s="4"/>
      <c r="K41" s="4">
        <v>93.110440549999993</v>
      </c>
      <c r="L41" s="4">
        <v>154.49488201</v>
      </c>
    </row>
    <row r="42" spans="2:12">
      <c r="B42" s="1" t="s">
        <v>122</v>
      </c>
      <c r="C42" s="36">
        <v>0</v>
      </c>
      <c r="D42" s="36">
        <v>0</v>
      </c>
      <c r="E42" s="51" t="s">
        <v>135</v>
      </c>
      <c r="F42" s="66">
        <v>0</v>
      </c>
      <c r="G42" s="21"/>
      <c r="H42" s="1" t="s">
        <v>31</v>
      </c>
      <c r="I42" s="4">
        <v>90.891000000000005</v>
      </c>
      <c r="J42" s="4">
        <v>130.31</v>
      </c>
      <c r="K42" s="4">
        <v>17.022647660000001</v>
      </c>
      <c r="L42" s="4">
        <v>12.6832303</v>
      </c>
    </row>
    <row r="43" spans="2:12">
      <c r="B43" s="6" t="s">
        <v>76</v>
      </c>
      <c r="C43" s="4">
        <f>SUM(C40:C42)</f>
        <v>0</v>
      </c>
      <c r="D43" s="4">
        <f>SUM(D40:D42)</f>
        <v>0</v>
      </c>
      <c r="E43" s="46">
        <f>SUM(E40:E42)</f>
        <v>0</v>
      </c>
      <c r="F43" s="46">
        <f>SUM(F40:F42)</f>
        <v>0</v>
      </c>
      <c r="G43" s="21"/>
      <c r="H43" s="1" t="s">
        <v>127</v>
      </c>
      <c r="I43" s="4"/>
      <c r="J43" s="4"/>
      <c r="K43" s="4"/>
      <c r="L43" s="4"/>
    </row>
    <row r="44" spans="2:12">
      <c r="B44" s="1"/>
      <c r="C44" s="1"/>
      <c r="D44" s="1"/>
      <c r="E44" s="52"/>
      <c r="F44" s="52"/>
      <c r="G44" s="21"/>
      <c r="H44" s="8" t="s">
        <v>32</v>
      </c>
      <c r="I44" s="62">
        <f>SUM(I34:I43)</f>
        <v>1276.8470000000002</v>
      </c>
      <c r="J44" s="62">
        <f>SUM(J34:J43)</f>
        <v>1778.6789999999999</v>
      </c>
      <c r="K44" s="62">
        <f>SUM(K34:K43)</f>
        <v>3203.8812355600003</v>
      </c>
      <c r="L44" s="62">
        <f>SUM(L34:L43)</f>
        <v>3351.6065716499998</v>
      </c>
    </row>
    <row r="45" spans="2:12">
      <c r="B45" s="8" t="s">
        <v>77</v>
      </c>
      <c r="C45" s="32">
        <f>C36+C43</f>
        <v>307.18699999999973</v>
      </c>
      <c r="D45" s="32">
        <f>D36+D43</f>
        <v>364.37000000000018</v>
      </c>
      <c r="E45" s="47">
        <f>E36+E43</f>
        <v>424.19434400000023</v>
      </c>
      <c r="F45" s="64">
        <f>F36+F43</f>
        <v>414.82696891000035</v>
      </c>
      <c r="G45" s="21"/>
      <c r="H45" s="6" t="s">
        <v>33</v>
      </c>
      <c r="I45" s="4"/>
      <c r="J45" s="4"/>
      <c r="K45" s="4"/>
      <c r="L45" s="4"/>
    </row>
    <row r="46" spans="2:12">
      <c r="B46" s="23" t="s">
        <v>52</v>
      </c>
      <c r="C46" s="24"/>
      <c r="D46" s="24">
        <f>IF(D45/C45-1&gt;100%,"N.A.",IF(D45/C45-1&lt;-100%,"N.A.",(D45/C45-1)))</f>
        <v>0.18615045558568721</v>
      </c>
      <c r="E46" s="24">
        <f t="shared" ref="E46:F46" si="13">IF(E45/D45-1&gt;100%,"N.A.",IF(E45/D45-1&lt;-100%,"N.A.",(E45/D45-1)))</f>
        <v>0.16418570134753141</v>
      </c>
      <c r="F46" s="24">
        <f t="shared" si="13"/>
        <v>-2.208274396511023E-2</v>
      </c>
      <c r="G46" s="21"/>
      <c r="H46" s="1" t="s">
        <v>34</v>
      </c>
      <c r="I46" s="4"/>
      <c r="J46" s="4"/>
      <c r="K46" s="4"/>
      <c r="L46" s="4"/>
    </row>
    <row r="47" spans="2:12">
      <c r="B47" s="23" t="s">
        <v>61</v>
      </c>
      <c r="C47" s="24"/>
      <c r="D47" s="24"/>
      <c r="E47" s="24"/>
      <c r="F47" s="24">
        <f>IF((F45/C45)^(1/3)-1&lt;-100%,"N.A.",IF((F45/C45)^(1/3)-1&gt;100%,"N.A.",((F45/C45)^(1/3)-1)))</f>
        <v>0.10532005556544233</v>
      </c>
      <c r="G47" s="21"/>
      <c r="H47" s="1" t="s">
        <v>35</v>
      </c>
      <c r="I47" s="4">
        <v>69.73</v>
      </c>
      <c r="J47" s="4">
        <v>60.406999999999996</v>
      </c>
      <c r="K47" s="4">
        <v>1269.9438012200001</v>
      </c>
      <c r="L47" s="4">
        <v>1333.24651913</v>
      </c>
    </row>
    <row r="48" spans="2:12">
      <c r="B48" s="1" t="s">
        <v>80</v>
      </c>
      <c r="C48" s="4"/>
      <c r="D48" s="4"/>
      <c r="E48" s="46"/>
      <c r="F48" s="46"/>
      <c r="G48" s="21"/>
      <c r="H48" s="1" t="s">
        <v>123</v>
      </c>
      <c r="I48" s="4"/>
      <c r="J48" s="4"/>
      <c r="K48" s="4"/>
      <c r="L48" s="4"/>
    </row>
    <row r="49" spans="2:12">
      <c r="B49" s="3" t="s">
        <v>78</v>
      </c>
      <c r="C49" s="37">
        <v>31.95</v>
      </c>
      <c r="D49" s="37">
        <v>37.9</v>
      </c>
      <c r="E49" s="55">
        <v>42.02</v>
      </c>
      <c r="F49" s="55">
        <v>40.92</v>
      </c>
      <c r="G49" s="21"/>
      <c r="H49" s="1" t="s">
        <v>124</v>
      </c>
      <c r="I49" s="40"/>
      <c r="J49" s="40">
        <v>0</v>
      </c>
      <c r="K49" s="4"/>
      <c r="L49" s="4"/>
    </row>
    <row r="50" spans="2:12">
      <c r="B50" s="3" t="s">
        <v>79</v>
      </c>
      <c r="C50" s="37">
        <v>31.95</v>
      </c>
      <c r="D50" s="37">
        <v>37.9</v>
      </c>
      <c r="E50" s="55">
        <v>42.02</v>
      </c>
      <c r="F50" s="55">
        <v>40.92</v>
      </c>
      <c r="G50" s="21"/>
      <c r="H50" s="1" t="s">
        <v>36</v>
      </c>
      <c r="I50" s="4">
        <v>18.286999999999999</v>
      </c>
      <c r="J50" s="40">
        <v>21.79</v>
      </c>
      <c r="K50" s="4">
        <v>25.573025000000001</v>
      </c>
      <c r="L50" s="4">
        <v>28.137581999999998</v>
      </c>
    </row>
    <row r="51" spans="2:12">
      <c r="B51" s="23" t="s">
        <v>52</v>
      </c>
      <c r="C51" s="24"/>
      <c r="D51" s="24">
        <f>IF(D50/C50-1&gt;100%,"N.A.",IF(D50/C50-1&lt;-100%,"N.A.",(D50/C50-1)))</f>
        <v>0.18622848200312991</v>
      </c>
      <c r="E51" s="24">
        <f>IF(E50/D50-1&gt;100%,"N.A.",IF(E50/D50-1&lt;-100%,"N.A.",(E50/D50-1)))</f>
        <v>0.10870712401055416</v>
      </c>
      <c r="F51" s="24">
        <f>IF(F50/E50-1&gt;100%,"N.A.",IF(F50/E50-1&lt;-100%,"N.A.",(F50/E50-1)))</f>
        <v>-2.6178010471204272E-2</v>
      </c>
      <c r="G51" s="21"/>
      <c r="H51" s="1" t="s">
        <v>37</v>
      </c>
      <c r="I51" s="4"/>
      <c r="J51" s="40"/>
      <c r="K51" s="4"/>
      <c r="L51" s="4"/>
    </row>
    <row r="52" spans="2:12">
      <c r="B52" s="23" t="s">
        <v>61</v>
      </c>
      <c r="C52" s="24"/>
      <c r="D52" s="24"/>
      <c r="E52" s="24"/>
      <c r="F52" s="24">
        <f>IF((F50/C50)^(1/3)-1&lt;-100%,"N.A.",IF((F50/C50)^(1/3)-1&gt;100%,"N.A.",((F50/C50)^(1/3)-1)))</f>
        <v>8.5979400847687515E-2</v>
      </c>
      <c r="G52" s="21"/>
      <c r="H52" s="1" t="s">
        <v>137</v>
      </c>
      <c r="I52" s="40">
        <v>37.189</v>
      </c>
      <c r="J52" s="40">
        <v>40.93</v>
      </c>
      <c r="K52" s="83">
        <v>68.291412829999999</v>
      </c>
      <c r="L52" s="83">
        <v>67.503346300000004</v>
      </c>
    </row>
    <row r="53" spans="2:12">
      <c r="D53" s="7"/>
      <c r="E53" s="53"/>
      <c r="F53" s="53"/>
      <c r="G53" s="21"/>
      <c r="H53" s="8" t="s">
        <v>38</v>
      </c>
      <c r="I53" s="32">
        <f>SUM(I47:I52)</f>
        <v>125.20599999999999</v>
      </c>
      <c r="J53" s="62">
        <f>SUM(J47:J52)</f>
        <v>123.12700000000001</v>
      </c>
      <c r="K53" s="62">
        <f>SUM(K47:K52)</f>
        <v>1363.8082390499999</v>
      </c>
      <c r="L53" s="62">
        <f>SUM(L47:L52)</f>
        <v>1428.8874474300001</v>
      </c>
    </row>
    <row r="54" spans="2:12">
      <c r="B54" s="16" t="s">
        <v>91</v>
      </c>
      <c r="C54" s="14" t="s">
        <v>1</v>
      </c>
      <c r="D54" s="14" t="s">
        <v>129</v>
      </c>
      <c r="E54" s="14" t="s">
        <v>136</v>
      </c>
      <c r="F54" s="14" t="s">
        <v>141</v>
      </c>
      <c r="G54" s="21"/>
      <c r="H54" s="6" t="s">
        <v>39</v>
      </c>
      <c r="I54" s="4"/>
      <c r="J54" s="4"/>
      <c r="K54" s="4"/>
      <c r="L54" s="4"/>
    </row>
    <row r="55" spans="2:12">
      <c r="B55" s="6" t="s">
        <v>85</v>
      </c>
      <c r="C55" s="38">
        <v>173.24</v>
      </c>
      <c r="D55" s="38">
        <f>C60</f>
        <v>191.64000000000001</v>
      </c>
      <c r="E55" s="38">
        <f>D60</f>
        <v>286.32500000000005</v>
      </c>
      <c r="F55" s="38">
        <f>E60</f>
        <v>1470.2406240000003</v>
      </c>
      <c r="G55" s="21"/>
      <c r="H55" s="1" t="s">
        <v>34</v>
      </c>
      <c r="I55" s="4"/>
      <c r="J55" s="4"/>
      <c r="K55" s="4"/>
      <c r="L55" s="4"/>
    </row>
    <row r="56" spans="2:12">
      <c r="B56" s="3" t="s">
        <v>81</v>
      </c>
      <c r="C56" s="38">
        <v>233.82499999999999</v>
      </c>
      <c r="D56" s="38">
        <v>309.303</v>
      </c>
      <c r="E56" s="38">
        <v>361.72605600000003</v>
      </c>
      <c r="F56" s="38">
        <v>372.86099999999999</v>
      </c>
      <c r="G56" s="21"/>
      <c r="H56" s="1" t="s">
        <v>35</v>
      </c>
      <c r="I56" s="61">
        <v>90.685000000000002</v>
      </c>
      <c r="J56" s="61">
        <v>49.57</v>
      </c>
      <c r="K56" s="4">
        <v>110.61025084000001</v>
      </c>
      <c r="L56" s="4">
        <v>144.82065600000001</v>
      </c>
    </row>
    <row r="57" spans="2:12">
      <c r="B57" s="3" t="s">
        <v>82</v>
      </c>
      <c r="C57" s="38">
        <v>-190.68899999999999</v>
      </c>
      <c r="D57" s="38">
        <v>-139.71899999999999</v>
      </c>
      <c r="E57" s="38">
        <v>-357.18</v>
      </c>
      <c r="F57" s="38">
        <v>-513.90740300000004</v>
      </c>
      <c r="G57" s="21"/>
      <c r="H57" s="1" t="s">
        <v>123</v>
      </c>
      <c r="I57" s="40"/>
      <c r="J57" s="4"/>
      <c r="K57" s="4"/>
      <c r="L57" s="4"/>
    </row>
    <row r="58" spans="2:12">
      <c r="B58" s="3" t="s">
        <v>83</v>
      </c>
      <c r="C58" s="38">
        <v>-24.736000000000001</v>
      </c>
      <c r="D58" s="38">
        <v>-74.899000000000001</v>
      </c>
      <c r="E58" s="38">
        <v>1179.3695680000001</v>
      </c>
      <c r="F58" s="38">
        <v>-80.712817999999999</v>
      </c>
      <c r="G58" s="21"/>
      <c r="H58" s="1" t="s">
        <v>128</v>
      </c>
      <c r="I58" s="63">
        <v>402.404</v>
      </c>
      <c r="J58" s="63">
        <v>592.73199999999997</v>
      </c>
      <c r="K58" s="4">
        <v>712.77254796</v>
      </c>
      <c r="L58" s="4">
        <v>806.2789435599999</v>
      </c>
    </row>
    <row r="59" spans="2:12">
      <c r="B59" s="28" t="s">
        <v>86</v>
      </c>
      <c r="C59" s="31">
        <f>SUM(C56:C58)</f>
        <v>18.399999999999995</v>
      </c>
      <c r="D59" s="31">
        <f t="shared" ref="D59" si="14">SUM(D56:D58)</f>
        <v>94.685000000000002</v>
      </c>
      <c r="E59" s="31">
        <f>SUM(E56:E58)</f>
        <v>1183.9156240000002</v>
      </c>
      <c r="F59" s="31">
        <f>SUM(F56:F58)</f>
        <v>-221.75922100000005</v>
      </c>
      <c r="G59" s="21"/>
      <c r="H59" s="1" t="s">
        <v>125</v>
      </c>
      <c r="I59" s="4"/>
      <c r="J59" s="4"/>
      <c r="K59" s="4"/>
      <c r="L59" s="4"/>
    </row>
    <row r="60" spans="2:12">
      <c r="B60" s="15" t="s">
        <v>84</v>
      </c>
      <c r="C60" s="33">
        <f>C55+C59</f>
        <v>191.64000000000001</v>
      </c>
      <c r="D60" s="33">
        <f t="shared" ref="D60" si="15">D55+D59</f>
        <v>286.32500000000005</v>
      </c>
      <c r="E60" s="33">
        <f>E55+E59</f>
        <v>1470.2406240000003</v>
      </c>
      <c r="F60" s="33">
        <f>F55+F59</f>
        <v>1248.4814030000002</v>
      </c>
      <c r="G60" s="21"/>
      <c r="H60" s="1" t="s">
        <v>126</v>
      </c>
      <c r="I60" s="61"/>
      <c r="J60" s="61"/>
      <c r="K60" s="4"/>
      <c r="L60" s="4"/>
    </row>
    <row r="61" spans="2:12">
      <c r="G61" s="21"/>
      <c r="H61" s="1" t="s">
        <v>50</v>
      </c>
      <c r="I61" s="4"/>
      <c r="J61" s="4"/>
      <c r="K61" s="4">
        <v>109.28737887</v>
      </c>
      <c r="L61" s="4">
        <v>14.959782179999999</v>
      </c>
    </row>
    <row r="62" spans="2:12">
      <c r="B62" s="16" t="s">
        <v>90</v>
      </c>
      <c r="C62" s="84" t="s">
        <v>1</v>
      </c>
      <c r="D62" s="84" t="s">
        <v>129</v>
      </c>
      <c r="E62" s="84" t="s">
        <v>136</v>
      </c>
      <c r="F62" s="84" t="s">
        <v>141</v>
      </c>
      <c r="G62" s="21"/>
      <c r="H62" s="1" t="s">
        <v>40</v>
      </c>
      <c r="I62" s="4">
        <v>95.369</v>
      </c>
      <c r="J62" s="4">
        <v>176.417</v>
      </c>
      <c r="K62" s="4">
        <v>51.794079600000003</v>
      </c>
      <c r="L62" s="4">
        <v>57.901904950000002</v>
      </c>
    </row>
    <row r="63" spans="2:12">
      <c r="B63" s="1" t="s">
        <v>87</v>
      </c>
      <c r="C63" s="39">
        <f>C56</f>
        <v>233.82499999999999</v>
      </c>
      <c r="D63" s="39">
        <f>D56</f>
        <v>309.303</v>
      </c>
      <c r="E63" s="39">
        <f>E56</f>
        <v>361.72605600000003</v>
      </c>
      <c r="F63" s="39">
        <f>F56</f>
        <v>372.86099999999999</v>
      </c>
      <c r="G63" s="21"/>
      <c r="H63" s="1" t="s">
        <v>41</v>
      </c>
      <c r="I63" s="4">
        <v>41.701000000000001</v>
      </c>
      <c r="J63" s="4">
        <v>27.966000000000001</v>
      </c>
      <c r="K63" s="4">
        <v>43.11636953</v>
      </c>
      <c r="L63" s="4">
        <v>57.442636869999994</v>
      </c>
    </row>
    <row r="64" spans="2:12">
      <c r="B64" s="17" t="s">
        <v>88</v>
      </c>
      <c r="C64" s="39">
        <v>178.369</v>
      </c>
      <c r="D64" s="39">
        <f>J19-I19+D19</f>
        <v>108.90299999999992</v>
      </c>
      <c r="E64" s="39">
        <f>K19-J19+E19</f>
        <v>336.73313947000008</v>
      </c>
      <c r="F64" s="39">
        <f>L19-K19+F19</f>
        <v>521.58835547999979</v>
      </c>
      <c r="G64" s="21"/>
      <c r="H64" s="1" t="s">
        <v>138</v>
      </c>
      <c r="I64" s="43"/>
      <c r="J64" s="43">
        <v>0</v>
      </c>
      <c r="K64" s="43"/>
      <c r="L64" s="43"/>
    </row>
    <row r="65" spans="2:12">
      <c r="B65" s="2" t="s">
        <v>89</v>
      </c>
      <c r="C65" s="34">
        <f>C63-C64</f>
        <v>55.455999999999989</v>
      </c>
      <c r="D65" s="34">
        <f>D63-D64</f>
        <v>200.40000000000009</v>
      </c>
      <c r="E65" s="34">
        <f>E63-E64</f>
        <v>24.992916529999945</v>
      </c>
      <c r="F65" s="60">
        <f>F63-F64</f>
        <v>-148.7273554799998</v>
      </c>
      <c r="G65" s="21"/>
      <c r="H65" s="8" t="s">
        <v>42</v>
      </c>
      <c r="I65" s="62">
        <f>SUM(I56:I64)</f>
        <v>630.15899999999999</v>
      </c>
      <c r="J65" s="62">
        <f t="shared" ref="J65:K65" si="16">SUM(J56:J64)</f>
        <v>846.68500000000006</v>
      </c>
      <c r="K65" s="62">
        <f t="shared" si="16"/>
        <v>1027.5806268000001</v>
      </c>
      <c r="L65" s="62">
        <f>SUM(L56:L64)</f>
        <v>1081.4039235599998</v>
      </c>
    </row>
    <row r="66" spans="2:12">
      <c r="E66" s="54"/>
      <c r="F66" s="54"/>
      <c r="G66" s="21"/>
      <c r="H66" s="1"/>
      <c r="I66" s="4"/>
      <c r="J66" s="4"/>
      <c r="K66" s="4"/>
      <c r="L66" s="4"/>
    </row>
    <row r="67" spans="2:12">
      <c r="B67" s="16" t="s">
        <v>109</v>
      </c>
      <c r="C67" s="84" t="s">
        <v>1</v>
      </c>
      <c r="D67" s="84" t="s">
        <v>129</v>
      </c>
      <c r="E67" s="85" t="s">
        <v>136</v>
      </c>
      <c r="F67" s="84" t="s">
        <v>141</v>
      </c>
      <c r="G67" s="21"/>
      <c r="H67" s="8" t="s">
        <v>43</v>
      </c>
      <c r="I67" s="62">
        <f>I44-I65</f>
        <v>646.68800000000022</v>
      </c>
      <c r="J67" s="62">
        <f>J44-J65</f>
        <v>931.9939999999998</v>
      </c>
      <c r="K67" s="62">
        <f>K44-K65</f>
        <v>2176.3006087600002</v>
      </c>
      <c r="L67" s="62">
        <f>L44-L65</f>
        <v>2270.2026480899999</v>
      </c>
    </row>
    <row r="68" spans="2:12">
      <c r="B68" s="1" t="s">
        <v>132</v>
      </c>
      <c r="C68" s="72">
        <f>9613790/1000000</f>
        <v>9.6137899999999998</v>
      </c>
      <c r="D68" s="72">
        <f t="shared" ref="D68" si="17">9613790/1000000</f>
        <v>9.6137899999999998</v>
      </c>
      <c r="E68" s="72">
        <f>10094553/1000000</f>
        <v>10.094552999999999</v>
      </c>
      <c r="F68" s="72">
        <f>10136890/1000000</f>
        <v>10.136889999999999</v>
      </c>
      <c r="G68" s="21"/>
      <c r="H68" s="1"/>
      <c r="I68" s="4"/>
      <c r="J68" s="4"/>
      <c r="K68" s="4"/>
      <c r="L68" s="4"/>
    </row>
    <row r="69" spans="2:12">
      <c r="B69" s="1" t="s">
        <v>133</v>
      </c>
      <c r="C69" s="41">
        <v>5</v>
      </c>
      <c r="D69" s="1">
        <v>5</v>
      </c>
      <c r="E69" s="1">
        <v>5</v>
      </c>
      <c r="F69" s="1">
        <v>5</v>
      </c>
      <c r="G69" s="21"/>
      <c r="H69" s="8" t="s">
        <v>44</v>
      </c>
      <c r="I69" s="68">
        <f>I44+I31</f>
        <v>1984.2150000000001</v>
      </c>
      <c r="J69" s="68">
        <f>J44+J31</f>
        <v>2540.9859999999999</v>
      </c>
      <c r="K69" s="68">
        <f>K44+K31</f>
        <v>4362.3465312000008</v>
      </c>
      <c r="L69" s="68">
        <f>L44+L31</f>
        <v>4957.9964659299994</v>
      </c>
    </row>
    <row r="70" spans="2:12">
      <c r="B70" s="17" t="s">
        <v>134</v>
      </c>
      <c r="C70" s="42">
        <f>I74*C68</f>
        <v>6027.3656405000002</v>
      </c>
      <c r="D70" s="42">
        <f>J74*D68</f>
        <v>11861.0134125</v>
      </c>
      <c r="E70" s="42">
        <f>K74*E68</f>
        <v>19235.170741499998</v>
      </c>
      <c r="F70" s="42">
        <f>L74*F68</f>
        <v>12055.803276999999</v>
      </c>
      <c r="G70" s="21"/>
      <c r="H70" s="8" t="s">
        <v>45</v>
      </c>
      <c r="I70" s="68">
        <f>I53+I65</f>
        <v>755.36500000000001</v>
      </c>
      <c r="J70" s="68">
        <f>J53+J65</f>
        <v>969.81200000000013</v>
      </c>
      <c r="K70" s="68">
        <f>K53+K65</f>
        <v>2391.38886585</v>
      </c>
      <c r="L70" s="68">
        <f>L53+L65</f>
        <v>2510.2913709899999</v>
      </c>
    </row>
    <row r="71" spans="2:12">
      <c r="B71" s="17" t="s">
        <v>92</v>
      </c>
      <c r="C71" s="39">
        <f t="shared" ref="C71" si="18">I12</f>
        <v>160.41500000000002</v>
      </c>
      <c r="D71" s="39">
        <f>J12</f>
        <v>109.977</v>
      </c>
      <c r="E71" s="39">
        <f>K12</f>
        <v>1380.55405206</v>
      </c>
      <c r="F71" s="39">
        <f>L12</f>
        <v>1478.0671751300001</v>
      </c>
      <c r="G71" s="21"/>
      <c r="H71" s="8" t="s">
        <v>46</v>
      </c>
      <c r="I71" s="68">
        <f>I70+I7</f>
        <v>1984.2069999999999</v>
      </c>
      <c r="J71" s="68">
        <f>J70+J7</f>
        <v>2540.9809999999998</v>
      </c>
      <c r="K71" s="68">
        <f>K70+K7</f>
        <v>4362.3465311999998</v>
      </c>
      <c r="L71" s="68">
        <f>L70+L7</f>
        <v>4957.9964659399993</v>
      </c>
    </row>
    <row r="72" spans="2:12">
      <c r="B72" s="17" t="s">
        <v>93</v>
      </c>
      <c r="C72" s="39">
        <f>I38+I39</f>
        <v>191.64</v>
      </c>
      <c r="D72" s="39">
        <f>J38+J39</f>
        <v>286.32499999999999</v>
      </c>
      <c r="E72" s="39">
        <f>K38+K39</f>
        <v>1470.23862472</v>
      </c>
      <c r="F72" s="39">
        <f>L38+L39</f>
        <v>1248.47980579</v>
      </c>
      <c r="G72" s="21"/>
      <c r="I72" s="7"/>
      <c r="J72" s="7"/>
    </row>
    <row r="73" spans="2:12">
      <c r="B73" s="2" t="s">
        <v>94</v>
      </c>
      <c r="C73" s="35">
        <f>SUM(C70:C71)-C72</f>
        <v>5996.1406404999998</v>
      </c>
      <c r="D73" s="35">
        <f>SUM(D70:D71)-D72</f>
        <v>11684.6654125</v>
      </c>
      <c r="E73" s="35">
        <f>SUM(E70:E71)-E72</f>
        <v>19145.486168839998</v>
      </c>
      <c r="F73" s="35">
        <f>SUM(F70:F71)-F72</f>
        <v>12285.390646339998</v>
      </c>
      <c r="G73" s="21"/>
      <c r="H73" s="16" t="s">
        <v>115</v>
      </c>
      <c r="I73" s="84" t="s">
        <v>1</v>
      </c>
      <c r="J73" s="84" t="s">
        <v>129</v>
      </c>
      <c r="K73" s="84" t="s">
        <v>136</v>
      </c>
      <c r="L73" s="84" t="s">
        <v>141</v>
      </c>
    </row>
    <row r="74" spans="2:12">
      <c r="G74" s="21"/>
      <c r="H74" s="1" t="s">
        <v>113</v>
      </c>
      <c r="I74" s="71">
        <v>626.95000000000005</v>
      </c>
      <c r="J74" s="71">
        <v>1233.75</v>
      </c>
      <c r="K74" s="71">
        <v>1905.5</v>
      </c>
      <c r="L74" s="71">
        <v>1189.3</v>
      </c>
    </row>
    <row r="75" spans="2:12">
      <c r="G75" s="21"/>
      <c r="H75" s="22" t="s">
        <v>112</v>
      </c>
      <c r="I75" s="30">
        <f t="shared" ref="I75:J75" si="19">C50</f>
        <v>31.95</v>
      </c>
      <c r="J75" s="30">
        <f t="shared" si="19"/>
        <v>37.9</v>
      </c>
      <c r="K75" s="30">
        <f>E50</f>
        <v>42.02</v>
      </c>
      <c r="L75" s="30">
        <f>F50</f>
        <v>40.92</v>
      </c>
    </row>
    <row r="76" spans="2:12">
      <c r="G76" s="21"/>
      <c r="H76" s="22" t="s">
        <v>110</v>
      </c>
      <c r="I76" s="30">
        <f>I8/C68</f>
        <v>127.82076579579956</v>
      </c>
      <c r="J76" s="30">
        <f>J8/D68</f>
        <v>163.42867901212736</v>
      </c>
      <c r="K76" s="30">
        <f>K8/E68</f>
        <v>195.24962277675891</v>
      </c>
      <c r="L76" s="30">
        <f>L8/F68</f>
        <v>241.46509382562107</v>
      </c>
    </row>
    <row r="77" spans="2:12">
      <c r="G77" s="21"/>
      <c r="H77" s="22" t="s">
        <v>111</v>
      </c>
      <c r="I77" s="30">
        <v>0</v>
      </c>
      <c r="J77" s="30">
        <v>0</v>
      </c>
      <c r="K77" s="30">
        <v>0</v>
      </c>
      <c r="L77" s="30">
        <v>0</v>
      </c>
    </row>
    <row r="78" spans="2:12">
      <c r="G78" s="21"/>
      <c r="H78" s="22" t="s">
        <v>95</v>
      </c>
      <c r="I78" s="30">
        <f>I74/I75</f>
        <v>19.62284820031299</v>
      </c>
      <c r="J78" s="30">
        <f t="shared" ref="J78:L78" si="20">J74/J75</f>
        <v>32.552770448548813</v>
      </c>
      <c r="K78" s="30">
        <f t="shared" si="20"/>
        <v>45.347453593526886</v>
      </c>
      <c r="L78" s="30">
        <f t="shared" si="20"/>
        <v>29.064027370478982</v>
      </c>
    </row>
    <row r="79" spans="2:12">
      <c r="G79" s="21"/>
      <c r="H79" s="22" t="s">
        <v>96</v>
      </c>
      <c r="I79" s="30">
        <f>I74/I76</f>
        <v>4.9049150667864554</v>
      </c>
      <c r="J79" s="30">
        <f t="shared" ref="J79:L79" si="21">J74/J76</f>
        <v>7.5491646108725421</v>
      </c>
      <c r="K79" s="30">
        <f t="shared" si="21"/>
        <v>9.759301825533754</v>
      </c>
      <c r="L79" s="30">
        <f t="shared" si="21"/>
        <v>4.9253495863831862</v>
      </c>
    </row>
    <row r="80" spans="2:12">
      <c r="G80" s="21"/>
      <c r="H80" s="22" t="s">
        <v>97</v>
      </c>
      <c r="I80" s="30">
        <f>C73/C13</f>
        <v>11.286258118160365</v>
      </c>
      <c r="J80" s="30">
        <f>D73/D13</f>
        <v>19.475221363021184</v>
      </c>
      <c r="K80" s="30">
        <f t="shared" ref="K80:L80" si="22">E73/E13</f>
        <v>25.662470570122636</v>
      </c>
      <c r="L80" s="30">
        <f t="shared" si="22"/>
        <v>16.233763774924263</v>
      </c>
    </row>
    <row r="81" spans="7:12">
      <c r="G81" s="21"/>
      <c r="H81" s="22" t="s">
        <v>114</v>
      </c>
      <c r="I81" s="30">
        <f>C5/AVERAGE(I71:I71)</f>
        <v>1.1446063843137335</v>
      </c>
      <c r="J81" s="30">
        <f>D5/AVERAGE(I71:J71)</f>
        <v>1.3069680198922122</v>
      </c>
      <c r="K81" s="30">
        <f t="shared" ref="K81:L81" si="23">E5/AVERAGE(J71:K71)</f>
        <v>1.0498009789114322</v>
      </c>
      <c r="L81" s="30">
        <f t="shared" si="23"/>
        <v>0.82577597594870911</v>
      </c>
    </row>
    <row r="82" spans="7:12">
      <c r="G82" s="21"/>
      <c r="H82" s="22" t="s">
        <v>98</v>
      </c>
      <c r="I82" s="44">
        <f>C36/I8</f>
        <v>0.24998087630468341</v>
      </c>
      <c r="J82" s="44">
        <f t="shared" ref="J82:L82" si="24">D36/J8</f>
        <v>0.23191012551800616</v>
      </c>
      <c r="K82" s="44">
        <f t="shared" si="24"/>
        <v>0.21522245325582495</v>
      </c>
      <c r="L82" s="44">
        <f t="shared" si="24"/>
        <v>0.16947587753355317</v>
      </c>
    </row>
    <row r="83" spans="7:12">
      <c r="G83" s="21"/>
      <c r="H83" s="22" t="s">
        <v>99</v>
      </c>
      <c r="I83" s="44">
        <f>(C21+C20)/I14</f>
        <v>0.31291042622063431</v>
      </c>
      <c r="J83" s="44">
        <f t="shared" ref="J83:L83" si="25">(D21+D20)/J14</f>
        <v>0.30678001791635001</v>
      </c>
      <c r="K83" s="44">
        <f t="shared" si="25"/>
        <v>0.20446892560160129</v>
      </c>
      <c r="L83" s="44">
        <f t="shared" si="25"/>
        <v>0.17755696142450866</v>
      </c>
    </row>
    <row r="84" spans="7:12">
      <c r="G84" s="21"/>
      <c r="H84" s="22" t="s">
        <v>100</v>
      </c>
      <c r="I84" s="30">
        <f>I12/I8</f>
        <v>0.13054159932684595</v>
      </c>
      <c r="J84" s="30">
        <f t="shared" ref="J84:L84" si="26">J12/J8</f>
        <v>6.9996925855843647E-2</v>
      </c>
      <c r="K84" s="30">
        <f t="shared" si="26"/>
        <v>0.70044835377772718</v>
      </c>
      <c r="L84" s="30">
        <f t="shared" si="26"/>
        <v>0.60385835621271733</v>
      </c>
    </row>
    <row r="85" spans="7:12">
      <c r="G85" s="21"/>
      <c r="H85" s="22" t="s">
        <v>101</v>
      </c>
      <c r="I85" s="30">
        <f>(I12 -C72)/I8</f>
        <v>-2.5410101542753232E-2</v>
      </c>
      <c r="J85" s="30">
        <f t="shared" ref="J85:L85" si="27">(J12 -D72)/J8</f>
        <v>-0.11223999455182733</v>
      </c>
      <c r="K85" s="30">
        <f t="shared" si="27"/>
        <v>-4.5503043640500465E-2</v>
      </c>
      <c r="L85" s="30">
        <f t="shared" si="27"/>
        <v>9.3796989602086836E-2</v>
      </c>
    </row>
    <row r="86" spans="7:12">
      <c r="G86" s="21"/>
      <c r="H86" s="22" t="s">
        <v>102</v>
      </c>
      <c r="I86" s="30">
        <v>0</v>
      </c>
      <c r="J86" s="30">
        <v>0</v>
      </c>
      <c r="K86" s="30">
        <v>0</v>
      </c>
      <c r="L86" s="30">
        <v>0</v>
      </c>
    </row>
    <row r="87" spans="7:12">
      <c r="G87" s="21"/>
      <c r="H87" s="22" t="s">
        <v>108</v>
      </c>
      <c r="I87" s="45">
        <f>(C21+C20)/C20</f>
        <v>18.002029153553078</v>
      </c>
      <c r="J87" s="45">
        <f>(D21+D20)/D20</f>
        <v>18.289371963544813</v>
      </c>
      <c r="K87" s="45">
        <f t="shared" ref="K87:L87" si="28">(E21+E20)/E20</f>
        <v>9.8051223350980141</v>
      </c>
      <c r="L87" s="45">
        <f t="shared" si="28"/>
        <v>4.5525892927188272</v>
      </c>
    </row>
    <row r="88" spans="7:12">
      <c r="G88" s="21"/>
      <c r="H88" s="22" t="s">
        <v>103</v>
      </c>
      <c r="I88" s="30">
        <f>AVERAGE(I37:I37)/C5*365</f>
        <v>100.80323459273245</v>
      </c>
      <c r="J88" s="30">
        <f>AVERAGE(I37:J37)/D5*365</f>
        <v>87.612328203824106</v>
      </c>
      <c r="K88" s="30">
        <f t="shared" ref="K88:L88" si="29">AVERAGE(J37:K37)/E5*365</f>
        <v>91.572467734762228</v>
      </c>
      <c r="L88" s="30">
        <f t="shared" si="29"/>
        <v>105.14354532479491</v>
      </c>
    </row>
    <row r="89" spans="7:12">
      <c r="G89" s="21"/>
      <c r="H89" s="22" t="s">
        <v>104</v>
      </c>
      <c r="I89" s="30">
        <f>(AVERAGE(I58:I58)/(C8+C9+C10)*365)</f>
        <v>138.97085232766958</v>
      </c>
      <c r="J89" s="30">
        <f>(AVERAGE(I58:J58)/(D8+D9+D10)*365)</f>
        <v>121.55339519910045</v>
      </c>
      <c r="K89" s="30">
        <f t="shared" ref="K89:L89" si="30">(AVERAGE(J58:K58)/(E8+E9+E10)*365)</f>
        <v>139.04232174486734</v>
      </c>
      <c r="L89" s="30">
        <f t="shared" si="30"/>
        <v>161.95067824258132</v>
      </c>
    </row>
    <row r="90" spans="7:12">
      <c r="G90" s="21"/>
      <c r="H90" s="22" t="s">
        <v>105</v>
      </c>
      <c r="I90" s="30">
        <f>AVERAGE(I34:I34)/(C9+C10+C8)*365</f>
        <v>105.74216051940877</v>
      </c>
      <c r="J90" s="30">
        <f>AVERAGE(I34:J34)/(D9+D10+D8)*365</f>
        <v>98.244350258852336</v>
      </c>
      <c r="K90" s="30">
        <f t="shared" ref="K90:L90" si="31">AVERAGE(J34:K34)/(E9+E10+E8)*365</f>
        <v>116.71290964611273</v>
      </c>
      <c r="L90" s="30">
        <f t="shared" si="31"/>
        <v>143.11362580474906</v>
      </c>
    </row>
    <row r="91" spans="7:12">
      <c r="G91" s="21"/>
      <c r="H91" s="22" t="s">
        <v>106</v>
      </c>
      <c r="I91" s="30">
        <f>I90+I88-I89</f>
        <v>67.574542784471646</v>
      </c>
      <c r="J91" s="30">
        <f t="shared" ref="J91:L91" si="32">J90+J88-J89</f>
        <v>64.303283263575977</v>
      </c>
      <c r="K91" s="30">
        <f t="shared" si="32"/>
        <v>69.243055636007625</v>
      </c>
      <c r="L91" s="30">
        <f t="shared" si="32"/>
        <v>86.306492886962644</v>
      </c>
    </row>
    <row r="92" spans="7:12">
      <c r="G92" s="21"/>
      <c r="H92" s="22" t="s">
        <v>107</v>
      </c>
      <c r="I92" s="30">
        <f>(I44-I65)/C5*365</f>
        <v>103.93086103165997</v>
      </c>
      <c r="J92" s="30">
        <f t="shared" ref="J92:L92" si="33">(J44-J65)/D5*365</f>
        <v>115.03616334442286</v>
      </c>
      <c r="K92" s="30">
        <f t="shared" si="33"/>
        <v>219.21804032426678</v>
      </c>
      <c r="L92" s="30">
        <f t="shared" si="33"/>
        <v>215.32445022838593</v>
      </c>
    </row>
    <row r="93" spans="7:12">
      <c r="G93" s="21"/>
      <c r="K93" s="18"/>
      <c r="L93" s="19"/>
    </row>
    <row r="94" spans="7:12">
      <c r="G94" s="21"/>
      <c r="I94" s="18"/>
      <c r="J94" s="18"/>
      <c r="K94" s="20"/>
      <c r="L94" s="67"/>
    </row>
    <row r="95" spans="7:12">
      <c r="K95" s="18"/>
      <c r="L95" s="18"/>
    </row>
    <row r="112" spans="4:6">
      <c r="D112" s="4"/>
      <c r="E112" s="7"/>
      <c r="F112" s="7"/>
    </row>
    <row r="113" spans="4:4">
      <c r="D113" s="1"/>
    </row>
  </sheetData>
  <mergeCells count="3">
    <mergeCell ref="H3:K3"/>
    <mergeCell ref="B2:K2"/>
    <mergeCell ref="B3:F3"/>
  </mergeCells>
  <phoneticPr fontId="14" type="noConversion"/>
  <pageMargins left="0.7" right="0.7" top="0.75" bottom="0.75" header="0.3" footer="0.3"/>
  <pageSetup scale="63" fitToWidth="0" orientation="portrait" r:id="rId1"/>
  <ignoredErrors>
    <ignoredError sqref="I12:K12 J88:L9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8A8-6159-41DE-8FAB-BA20A0472724}">
  <dimension ref="A1:J52"/>
  <sheetViews>
    <sheetView workbookViewId="0">
      <selection activeCell="H10" sqref="H10:J52"/>
    </sheetView>
  </sheetViews>
  <sheetFormatPr defaultRowHeight="14.4"/>
  <cols>
    <col min="1" max="1" width="26" bestFit="1" customWidth="1"/>
    <col min="2" max="3" width="15.88671875" bestFit="1" customWidth="1"/>
    <col min="8" max="8" width="26" bestFit="1" customWidth="1"/>
    <col min="9" max="10" width="10.44140625" bestFit="1" customWidth="1"/>
  </cols>
  <sheetData>
    <row r="1" spans="1:10">
      <c r="A1" s="78" t="s">
        <v>144</v>
      </c>
      <c r="B1" s="79" t="s">
        <v>145</v>
      </c>
      <c r="C1" s="79" t="s">
        <v>145</v>
      </c>
    </row>
    <row r="2" spans="1:10">
      <c r="A2" s="80" t="s">
        <v>146</v>
      </c>
      <c r="B2" s="81"/>
      <c r="C2" s="81"/>
    </row>
    <row r="3" spans="1:10">
      <c r="A3" s="80" t="s">
        <v>147</v>
      </c>
      <c r="B3" s="81"/>
      <c r="C3" s="81"/>
    </row>
    <row r="4" spans="1:10">
      <c r="A4" s="82" t="s">
        <v>148</v>
      </c>
      <c r="B4" s="83">
        <v>1153.6789608499998</v>
      </c>
      <c r="C4" s="83">
        <v>803.61913947000005</v>
      </c>
    </row>
    <row r="5" spans="1:10">
      <c r="A5" s="82" t="s">
        <v>149</v>
      </c>
      <c r="B5" s="83">
        <v>98.957670739999998</v>
      </c>
      <c r="C5" s="83">
        <v>85.729988910000003</v>
      </c>
    </row>
    <row r="6" spans="1:10">
      <c r="A6" s="82" t="s">
        <v>150</v>
      </c>
      <c r="B6" s="83" t="s">
        <v>135</v>
      </c>
      <c r="C6" s="83" t="s">
        <v>135</v>
      </c>
    </row>
    <row r="7" spans="1:10">
      <c r="A7" s="80" t="s">
        <v>151</v>
      </c>
      <c r="B7" s="83">
        <v>0</v>
      </c>
      <c r="C7" s="83">
        <v>0</v>
      </c>
      <c r="I7">
        <v>1000000</v>
      </c>
    </row>
    <row r="8" spans="1:10">
      <c r="A8" s="82" t="s">
        <v>152</v>
      </c>
      <c r="B8" s="83" t="s">
        <v>135</v>
      </c>
      <c r="C8" s="83" t="s">
        <v>135</v>
      </c>
    </row>
    <row r="9" spans="1:10">
      <c r="A9" s="82" t="s">
        <v>153</v>
      </c>
      <c r="B9" s="83" t="s">
        <v>135</v>
      </c>
      <c r="C9" s="83" t="s">
        <v>135</v>
      </c>
    </row>
    <row r="10" spans="1:10">
      <c r="A10" s="82" t="s">
        <v>154</v>
      </c>
      <c r="B10" s="83">
        <v>179.55953857</v>
      </c>
      <c r="C10" s="83">
        <v>141.39155932</v>
      </c>
      <c r="H10" s="78" t="s">
        <v>144</v>
      </c>
      <c r="I10" s="79" t="s">
        <v>145</v>
      </c>
      <c r="J10" s="79" t="s">
        <v>145</v>
      </c>
    </row>
    <row r="11" spans="1:10">
      <c r="A11" s="82" t="s">
        <v>155</v>
      </c>
      <c r="B11" s="83">
        <v>25.226354659999998</v>
      </c>
      <c r="C11" s="83">
        <v>18.28556158</v>
      </c>
      <c r="H11" s="80" t="s">
        <v>165</v>
      </c>
      <c r="I11" s="83">
        <v>0</v>
      </c>
      <c r="J11" s="83">
        <v>0</v>
      </c>
    </row>
    <row r="12" spans="1:10">
      <c r="A12" s="82" t="s">
        <v>156</v>
      </c>
      <c r="B12" s="83">
        <v>148.96736946000001</v>
      </c>
      <c r="C12" s="83">
        <v>109.43904636000001</v>
      </c>
      <c r="H12" s="80" t="s">
        <v>166</v>
      </c>
      <c r="I12" s="83">
        <v>0</v>
      </c>
      <c r="J12" s="83">
        <v>0</v>
      </c>
    </row>
    <row r="13" spans="1:10">
      <c r="A13" s="80" t="s">
        <v>157</v>
      </c>
      <c r="B13" s="83">
        <v>1606.3898942799999</v>
      </c>
      <c r="C13" s="83">
        <v>1158.46529564</v>
      </c>
      <c r="H13" s="82" t="s">
        <v>167</v>
      </c>
      <c r="I13" s="83">
        <v>101.3689</v>
      </c>
      <c r="J13" s="83">
        <v>100.94553000000001</v>
      </c>
    </row>
    <row r="14" spans="1:10">
      <c r="A14" s="80" t="s">
        <v>158</v>
      </c>
      <c r="B14" s="83">
        <v>0</v>
      </c>
      <c r="C14" s="83">
        <v>0</v>
      </c>
      <c r="H14" s="82" t="s">
        <v>168</v>
      </c>
      <c r="I14" s="83">
        <v>2346.3361949499999</v>
      </c>
      <c r="J14" s="83">
        <v>1870.0121353499999</v>
      </c>
    </row>
    <row r="15" spans="1:10">
      <c r="A15" s="82" t="s">
        <v>159</v>
      </c>
      <c r="B15" s="83">
        <v>744.63938900000005</v>
      </c>
      <c r="C15" s="83">
        <v>597.72588599999995</v>
      </c>
      <c r="H15" s="80" t="s">
        <v>7</v>
      </c>
      <c r="I15" s="83">
        <v>2447.7050949499999</v>
      </c>
      <c r="J15" s="83">
        <v>1970.9576653499998</v>
      </c>
    </row>
    <row r="16" spans="1:10">
      <c r="A16" s="80" t="s">
        <v>151</v>
      </c>
      <c r="B16" s="83">
        <v>0</v>
      </c>
      <c r="C16" s="83">
        <v>0</v>
      </c>
      <c r="H16" s="80" t="s">
        <v>146</v>
      </c>
      <c r="I16" s="81"/>
      <c r="J16" s="81"/>
    </row>
    <row r="17" spans="1:10">
      <c r="A17" s="82" t="s">
        <v>160</v>
      </c>
      <c r="B17" s="83">
        <v>1191.3092645499999</v>
      </c>
      <c r="C17" s="83">
        <v>1025.78363663</v>
      </c>
      <c r="H17" s="80" t="s">
        <v>147</v>
      </c>
      <c r="I17" s="81"/>
      <c r="J17" s="81"/>
    </row>
    <row r="18" spans="1:10">
      <c r="A18" s="82" t="s">
        <v>161</v>
      </c>
      <c r="B18" s="83">
        <v>1248.47980579</v>
      </c>
      <c r="C18" s="83">
        <v>1470.23862472</v>
      </c>
      <c r="H18" s="82" t="s">
        <v>148</v>
      </c>
      <c r="I18" s="83">
        <v>1153.6789608499998</v>
      </c>
      <c r="J18" s="83">
        <v>803.61913947000005</v>
      </c>
    </row>
    <row r="19" spans="1:10">
      <c r="A19" s="82" t="s">
        <v>154</v>
      </c>
      <c r="B19" s="83">
        <v>154.49488201</v>
      </c>
      <c r="C19" s="83">
        <v>93.110440549999993</v>
      </c>
      <c r="H19" s="82" t="s">
        <v>149</v>
      </c>
      <c r="I19" s="83">
        <v>98.957670739999998</v>
      </c>
      <c r="J19" s="83">
        <v>85.729988910000003</v>
      </c>
    </row>
    <row r="20" spans="1:10">
      <c r="A20" s="82" t="s">
        <v>162</v>
      </c>
      <c r="B20" s="83">
        <v>12.6832303</v>
      </c>
      <c r="C20" s="83">
        <v>17.022647660000001</v>
      </c>
      <c r="H20" s="82" t="s">
        <v>150</v>
      </c>
      <c r="I20" s="83" t="s">
        <v>135</v>
      </c>
      <c r="J20" s="83" t="s">
        <v>135</v>
      </c>
    </row>
    <row r="21" spans="1:10">
      <c r="A21" s="80" t="s">
        <v>163</v>
      </c>
      <c r="B21" s="83">
        <v>3351.6065716500002</v>
      </c>
      <c r="C21" s="83">
        <v>3203.8812355599998</v>
      </c>
      <c r="H21" s="80" t="s">
        <v>151</v>
      </c>
      <c r="I21" s="83">
        <v>0</v>
      </c>
      <c r="J21" s="83">
        <v>0</v>
      </c>
    </row>
    <row r="22" spans="1:10">
      <c r="A22" s="80" t="s">
        <v>164</v>
      </c>
      <c r="B22" s="83">
        <v>4957.9964659300003</v>
      </c>
      <c r="C22" s="83">
        <v>4362.3465311999998</v>
      </c>
      <c r="H22" s="82" t="s">
        <v>152</v>
      </c>
      <c r="I22" s="83" t="s">
        <v>135</v>
      </c>
      <c r="J22" s="83" t="s">
        <v>135</v>
      </c>
    </row>
    <row r="23" spans="1:10">
      <c r="A23" s="80" t="s">
        <v>165</v>
      </c>
      <c r="B23" s="83">
        <v>0</v>
      </c>
      <c r="C23" s="83">
        <v>0</v>
      </c>
      <c r="H23" s="82" t="s">
        <v>153</v>
      </c>
      <c r="I23" s="83" t="s">
        <v>135</v>
      </c>
      <c r="J23" s="83" t="s">
        <v>135</v>
      </c>
    </row>
    <row r="24" spans="1:10">
      <c r="A24" s="80" t="s">
        <v>166</v>
      </c>
      <c r="B24" s="83">
        <v>0</v>
      </c>
      <c r="C24" s="83">
        <v>0</v>
      </c>
      <c r="H24" s="82" t="s">
        <v>154</v>
      </c>
      <c r="I24" s="83">
        <v>179.55953857</v>
      </c>
      <c r="J24" s="83">
        <v>141.39155932</v>
      </c>
    </row>
    <row r="25" spans="1:10">
      <c r="A25" s="82" t="s">
        <v>167</v>
      </c>
      <c r="B25" s="83">
        <v>101.3689</v>
      </c>
      <c r="C25" s="83">
        <v>100.94553000000001</v>
      </c>
      <c r="H25" s="82" t="s">
        <v>155</v>
      </c>
      <c r="I25" s="83">
        <v>25.226354659999998</v>
      </c>
      <c r="J25" s="83">
        <v>18.28556158</v>
      </c>
    </row>
    <row r="26" spans="1:10">
      <c r="A26" s="82" t="s">
        <v>168</v>
      </c>
      <c r="B26" s="83">
        <v>2346.3361949499999</v>
      </c>
      <c r="C26" s="83">
        <v>1870.0121353499999</v>
      </c>
      <c r="H26" s="82" t="s">
        <v>156</v>
      </c>
      <c r="I26" s="83">
        <v>148.96736946000001</v>
      </c>
      <c r="J26" s="83">
        <v>109.43904636000001</v>
      </c>
    </row>
    <row r="27" spans="1:10">
      <c r="A27" s="80" t="s">
        <v>7</v>
      </c>
      <c r="B27" s="83">
        <v>2447.7050949499999</v>
      </c>
      <c r="C27" s="83">
        <v>1970.9576653499998</v>
      </c>
      <c r="H27" s="80" t="s">
        <v>157</v>
      </c>
      <c r="I27" s="83">
        <v>1606.3898942799999</v>
      </c>
      <c r="J27" s="83">
        <v>1158.46529564</v>
      </c>
    </row>
    <row r="28" spans="1:10">
      <c r="A28" s="80" t="s">
        <v>169</v>
      </c>
      <c r="B28" s="83">
        <v>0</v>
      </c>
      <c r="C28" s="83">
        <v>0</v>
      </c>
      <c r="H28" s="80" t="s">
        <v>158</v>
      </c>
      <c r="I28" s="83">
        <v>0</v>
      </c>
      <c r="J28" s="83">
        <v>0</v>
      </c>
    </row>
    <row r="29" spans="1:10">
      <c r="A29" s="80" t="s">
        <v>170</v>
      </c>
      <c r="B29" s="83">
        <v>0</v>
      </c>
      <c r="C29" s="83">
        <v>0</v>
      </c>
      <c r="H29" s="82" t="s">
        <v>159</v>
      </c>
      <c r="I29" s="83">
        <v>744.63938900000005</v>
      </c>
      <c r="J29" s="83">
        <v>597.72588599999995</v>
      </c>
    </row>
    <row r="30" spans="1:10">
      <c r="A30" s="82" t="s">
        <v>171</v>
      </c>
      <c r="B30" s="83">
        <v>1333.24651913</v>
      </c>
      <c r="C30" s="83">
        <v>1269.9438012200001</v>
      </c>
      <c r="H30" s="80" t="s">
        <v>151</v>
      </c>
      <c r="I30" s="83">
        <v>0</v>
      </c>
      <c r="J30" s="83">
        <v>0</v>
      </c>
    </row>
    <row r="31" spans="1:10">
      <c r="A31" s="82" t="s">
        <v>172</v>
      </c>
      <c r="B31" s="83" t="s">
        <v>135</v>
      </c>
      <c r="C31" s="83" t="s">
        <v>135</v>
      </c>
      <c r="H31" s="82" t="s">
        <v>160</v>
      </c>
      <c r="I31" s="83">
        <v>1191.3092645499999</v>
      </c>
      <c r="J31" s="83">
        <v>1025.78363663</v>
      </c>
    </row>
    <row r="32" spans="1:10">
      <c r="A32" s="82" t="s">
        <v>173</v>
      </c>
      <c r="B32" s="83">
        <v>28.137581999999998</v>
      </c>
      <c r="C32" s="83">
        <v>25.573025000000001</v>
      </c>
      <c r="H32" s="82" t="s">
        <v>161</v>
      </c>
      <c r="I32" s="83">
        <v>1248.47980579</v>
      </c>
      <c r="J32" s="83">
        <v>1470.23862472</v>
      </c>
    </row>
    <row r="33" spans="1:10">
      <c r="A33" s="82" t="s">
        <v>174</v>
      </c>
      <c r="B33" s="83">
        <v>67.503346300000004</v>
      </c>
      <c r="C33" s="83">
        <v>68.291412829999999</v>
      </c>
      <c r="H33" s="82" t="s">
        <v>154</v>
      </c>
      <c r="I33" s="83">
        <v>154.49488201</v>
      </c>
      <c r="J33" s="83">
        <v>93.110440549999993</v>
      </c>
    </row>
    <row r="34" spans="1:10">
      <c r="A34" s="80" t="s">
        <v>175</v>
      </c>
      <c r="B34" s="83">
        <v>1428.8874474300001</v>
      </c>
      <c r="C34" s="83">
        <v>1363.8082390499999</v>
      </c>
      <c r="H34" s="82" t="s">
        <v>162</v>
      </c>
      <c r="I34" s="83">
        <v>12.6832303</v>
      </c>
      <c r="J34" s="83">
        <v>17.022647660000001</v>
      </c>
    </row>
    <row r="35" spans="1:10">
      <c r="A35" s="80" t="s">
        <v>176</v>
      </c>
      <c r="B35" s="83">
        <v>0</v>
      </c>
      <c r="C35" s="83">
        <v>0</v>
      </c>
      <c r="H35" s="80" t="s">
        <v>163</v>
      </c>
      <c r="I35" s="83">
        <v>3351.6065716500002</v>
      </c>
      <c r="J35" s="83">
        <v>3203.8812355599998</v>
      </c>
    </row>
    <row r="36" spans="1:10">
      <c r="A36" s="80" t="s">
        <v>170</v>
      </c>
      <c r="B36" s="83">
        <v>0</v>
      </c>
      <c r="C36" s="83">
        <v>0</v>
      </c>
      <c r="H36" s="80" t="s">
        <v>164</v>
      </c>
      <c r="I36" s="83">
        <v>4957.9964659300003</v>
      </c>
      <c r="J36" s="83">
        <v>4362.3465311999998</v>
      </c>
    </row>
    <row r="37" spans="1:10">
      <c r="A37" s="82" t="s">
        <v>171</v>
      </c>
      <c r="B37" s="83">
        <v>144.82065600000001</v>
      </c>
      <c r="C37" s="83">
        <v>110.61025084000001</v>
      </c>
      <c r="H37" s="80" t="s">
        <v>169</v>
      </c>
      <c r="I37" s="83">
        <v>0</v>
      </c>
      <c r="J37" s="83">
        <v>0</v>
      </c>
    </row>
    <row r="38" spans="1:10">
      <c r="A38" s="82" t="s">
        <v>177</v>
      </c>
      <c r="B38" s="83">
        <v>806.2789435599999</v>
      </c>
      <c r="C38" s="83">
        <v>712.77254796</v>
      </c>
      <c r="H38" s="80" t="s">
        <v>170</v>
      </c>
      <c r="I38" s="83">
        <v>0</v>
      </c>
      <c r="J38" s="83">
        <v>0</v>
      </c>
    </row>
    <row r="39" spans="1:10">
      <c r="A39" s="82" t="s">
        <v>172</v>
      </c>
      <c r="B39" s="83">
        <v>14.959782179999999</v>
      </c>
      <c r="C39" s="83">
        <v>109.28737887</v>
      </c>
      <c r="H39" s="82" t="s">
        <v>171</v>
      </c>
      <c r="I39" s="83">
        <v>1333.24651913</v>
      </c>
      <c r="J39" s="83">
        <v>1269.9438012200001</v>
      </c>
    </row>
    <row r="40" spans="1:10">
      <c r="A40" s="82" t="s">
        <v>173</v>
      </c>
      <c r="B40" s="83">
        <v>57.442636869999994</v>
      </c>
      <c r="C40" s="83">
        <v>43.11636953</v>
      </c>
      <c r="H40" s="82" t="s">
        <v>172</v>
      </c>
      <c r="I40" s="83" t="s">
        <v>135</v>
      </c>
      <c r="J40" s="83" t="s">
        <v>135</v>
      </c>
    </row>
    <row r="41" spans="1:10">
      <c r="A41" s="82" t="s">
        <v>178</v>
      </c>
      <c r="B41" s="83">
        <v>57.901904950000002</v>
      </c>
      <c r="C41" s="83">
        <v>51.794079600000003</v>
      </c>
      <c r="H41" s="82" t="s">
        <v>173</v>
      </c>
      <c r="I41" s="83">
        <v>28.137581999999998</v>
      </c>
      <c r="J41" s="83">
        <v>25.573025000000001</v>
      </c>
    </row>
    <row r="42" spans="1:10">
      <c r="A42" s="80" t="s">
        <v>179</v>
      </c>
      <c r="B42" s="83">
        <v>1081.4039235499999</v>
      </c>
      <c r="C42" s="83">
        <v>1027.5806267999999</v>
      </c>
      <c r="H42" s="82" t="s">
        <v>174</v>
      </c>
      <c r="I42" s="83">
        <v>67.503346300000004</v>
      </c>
      <c r="J42" s="83">
        <v>68.291412829999999</v>
      </c>
    </row>
    <row r="43" spans="1:10">
      <c r="A43" s="80" t="s">
        <v>180</v>
      </c>
      <c r="B43" s="83">
        <v>4957.9964659300003</v>
      </c>
      <c r="C43" s="83">
        <v>4362.3465311999998</v>
      </c>
      <c r="H43" s="80" t="s">
        <v>175</v>
      </c>
      <c r="I43" s="83">
        <v>1428.8874474300001</v>
      </c>
      <c r="J43" s="83">
        <v>1363.8082390499999</v>
      </c>
    </row>
    <row r="44" spans="1:10">
      <c r="H44" s="80" t="s">
        <v>176</v>
      </c>
      <c r="I44" s="83">
        <v>0</v>
      </c>
      <c r="J44" s="83">
        <v>0</v>
      </c>
    </row>
    <row r="45" spans="1:10">
      <c r="H45" s="80" t="s">
        <v>170</v>
      </c>
      <c r="I45" s="83">
        <v>0</v>
      </c>
      <c r="J45" s="83">
        <v>0</v>
      </c>
    </row>
    <row r="46" spans="1:10">
      <c r="H46" s="82" t="s">
        <v>171</v>
      </c>
      <c r="I46" s="83">
        <v>144.82065600000001</v>
      </c>
      <c r="J46" s="83">
        <v>110.61025084000001</v>
      </c>
    </row>
    <row r="47" spans="1:10">
      <c r="H47" s="82" t="s">
        <v>177</v>
      </c>
      <c r="I47" s="83">
        <v>806.2789435599999</v>
      </c>
      <c r="J47" s="83">
        <v>712.77254796</v>
      </c>
    </row>
    <row r="48" spans="1:10">
      <c r="H48" s="82" t="s">
        <v>172</v>
      </c>
      <c r="I48" s="83">
        <v>14.959782179999999</v>
      </c>
      <c r="J48" s="83">
        <v>109.28737887</v>
      </c>
    </row>
    <row r="49" spans="8:10">
      <c r="H49" s="82" t="s">
        <v>173</v>
      </c>
      <c r="I49" s="83">
        <v>57.442636869999994</v>
      </c>
      <c r="J49" s="83">
        <v>43.11636953</v>
      </c>
    </row>
    <row r="50" spans="8:10">
      <c r="H50" s="82" t="s">
        <v>178</v>
      </c>
      <c r="I50" s="83">
        <v>57.901904950000002</v>
      </c>
      <c r="J50" s="83">
        <v>51.794079600000003</v>
      </c>
    </row>
    <row r="51" spans="8:10">
      <c r="H51" s="80" t="s">
        <v>179</v>
      </c>
      <c r="I51" s="83">
        <v>1081.4039235499999</v>
      </c>
      <c r="J51" s="83">
        <v>1027.5806267999999</v>
      </c>
    </row>
    <row r="52" spans="8:10">
      <c r="H52" s="80" t="s">
        <v>180</v>
      </c>
      <c r="I52" s="83">
        <v>4957.9964659300003</v>
      </c>
      <c r="J52" s="83">
        <v>4362.3465311999998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2132-B57A-4D5A-8B01-C0FE0A1D05DD}">
  <dimension ref="A1"/>
  <sheetViews>
    <sheetView workbookViewId="0">
      <selection sqref="A1:C42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2023-11-24T05:57:13Z</cp:lastPrinted>
  <dcterms:created xsi:type="dcterms:W3CDTF">2023-11-23T05:15:14Z</dcterms:created>
  <dcterms:modified xsi:type="dcterms:W3CDTF">2026-06-23T05:14:19Z</dcterms:modified>
</cp:coreProperties>
</file>