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Harshit\Centum\Summary Sheet\Q1-FY27\"/>
    </mc:Choice>
  </mc:AlternateContent>
  <xr:revisionPtr revIDLastSave="0" documentId="13_ncr:1_{02E7B6C8-47F5-4A86-A691-E9BE2CC0C4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- CONSOLIDATED" sheetId="7" r:id="rId1"/>
    <sheet name="Standalone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85" i="7" l="1"/>
  <c r="Y71" i="7"/>
  <c r="Y68" i="7"/>
  <c r="L60" i="7"/>
  <c r="L63" i="7" s="1"/>
  <c r="L61" i="7"/>
  <c r="L62" i="7"/>
  <c r="L32" i="7"/>
  <c r="K31" i="7"/>
  <c r="J31" i="7"/>
  <c r="L31" i="7"/>
  <c r="L29" i="7"/>
  <c r="K29" i="7"/>
  <c r="L22" i="7"/>
  <c r="L14" i="7"/>
  <c r="L7" i="7"/>
  <c r="L4" i="7"/>
  <c r="X87" i="7"/>
  <c r="X78" i="7"/>
  <c r="X68" i="7"/>
  <c r="X71" i="7" s="1"/>
  <c r="X43" i="7"/>
  <c r="X31" i="7"/>
  <c r="X14" i="7"/>
  <c r="X11" i="7"/>
  <c r="X7" i="7"/>
  <c r="K62" i="7"/>
  <c r="K60" i="7"/>
  <c r="K55" i="7"/>
  <c r="L23" i="7" l="1"/>
  <c r="L25" i="7" s="1"/>
  <c r="L17" i="7"/>
  <c r="X76" i="7"/>
  <c r="X62" i="7"/>
  <c r="X54" i="7"/>
  <c r="X12" i="7"/>
  <c r="X77" i="7"/>
  <c r="X69" i="7"/>
  <c r="X72" i="7" s="1"/>
  <c r="X74" i="7"/>
  <c r="X84" i="7"/>
  <c r="K49" i="7"/>
  <c r="K39" i="7"/>
  <c r="K38" i="7"/>
  <c r="W68" i="7"/>
  <c r="W31" i="7"/>
  <c r="V31" i="7"/>
  <c r="U31" i="7"/>
  <c r="T31" i="7"/>
  <c r="S31" i="7"/>
  <c r="R31" i="7"/>
  <c r="Q31" i="7"/>
  <c r="K22" i="7"/>
  <c r="K4" i="7"/>
  <c r="K32" i="7" s="1"/>
  <c r="J38" i="7"/>
  <c r="I38" i="7"/>
  <c r="J22" i="7"/>
  <c r="J4" i="7"/>
  <c r="K5" i="7" l="1"/>
  <c r="X83" i="7"/>
  <c r="X79" i="7"/>
  <c r="X86" i="7"/>
  <c r="K7" i="7"/>
  <c r="J7" i="7"/>
  <c r="K54" i="7"/>
  <c r="K56" i="7" s="1"/>
  <c r="X63" i="7" l="1"/>
  <c r="K61" i="7"/>
  <c r="K63" i="7" s="1"/>
  <c r="K14" i="7"/>
  <c r="X80" i="7"/>
  <c r="X81" i="7"/>
  <c r="X82" i="7" l="1"/>
  <c r="X85" i="7"/>
  <c r="X73" i="7"/>
  <c r="K23" i="7"/>
  <c r="X75" i="7" s="1"/>
  <c r="K17" i="7"/>
  <c r="J62" i="7"/>
  <c r="W79" i="7"/>
  <c r="J54" i="7"/>
  <c r="J49" i="7"/>
  <c r="W78" i="7"/>
  <c r="W71" i="7"/>
  <c r="W87" i="7"/>
  <c r="K25" i="7" l="1"/>
  <c r="W86" i="7"/>
  <c r="J39" i="7"/>
  <c r="J60" i="7" l="1"/>
  <c r="J56" i="7" l="1"/>
  <c r="W81" i="7" l="1"/>
  <c r="W80" i="7"/>
  <c r="J14" i="7"/>
  <c r="K15" i="7" s="1"/>
  <c r="U14" i="7"/>
  <c r="U11" i="7"/>
  <c r="V14" i="7"/>
  <c r="V11" i="7"/>
  <c r="V7" i="7"/>
  <c r="W14" i="7"/>
  <c r="W11" i="7"/>
  <c r="W7" i="7"/>
  <c r="W69" i="7" s="1"/>
  <c r="W72" i="7" s="1"/>
  <c r="I39" i="7"/>
  <c r="I7" i="7"/>
  <c r="I4" i="7"/>
  <c r="J5" i="7" s="1"/>
  <c r="W62" i="7" l="1"/>
  <c r="W82" i="7"/>
  <c r="W76" i="7"/>
  <c r="J61" i="7"/>
  <c r="J63" i="7" s="1"/>
  <c r="W73" i="7" s="1"/>
  <c r="W84" i="7"/>
  <c r="W77" i="7"/>
  <c r="J17" i="7"/>
  <c r="W85" i="7"/>
  <c r="J23" i="7"/>
  <c r="V12" i="7"/>
  <c r="W12" i="7"/>
  <c r="V62" i="7"/>
  <c r="I14" i="7"/>
  <c r="J15" i="7" s="1"/>
  <c r="W43" i="7"/>
  <c r="W63" i="7" s="1"/>
  <c r="F39" i="7"/>
  <c r="G39" i="7"/>
  <c r="H39" i="7"/>
  <c r="E39" i="7"/>
  <c r="W75" i="7" l="1"/>
  <c r="J29" i="7"/>
  <c r="K33" i="7" s="1"/>
  <c r="J25" i="7"/>
  <c r="W54" i="7"/>
  <c r="W83" i="7" s="1"/>
  <c r="I17" i="7"/>
  <c r="I23" i="7"/>
  <c r="V69" i="7"/>
  <c r="V87" i="7"/>
  <c r="V86" i="7" s="1"/>
  <c r="V79" i="7"/>
  <c r="V78" i="7"/>
  <c r="W74" i="7" l="1"/>
  <c r="J32" i="7"/>
  <c r="I55" i="7"/>
  <c r="I54" i="7"/>
  <c r="I49" i="7"/>
  <c r="H38" i="7"/>
  <c r="V71" i="7"/>
  <c r="I62" i="7"/>
  <c r="I60" i="7"/>
  <c r="V84" i="7" l="1"/>
  <c r="I29" i="7"/>
  <c r="J33" i="7" s="1"/>
  <c r="V80" i="7"/>
  <c r="V81" i="7"/>
  <c r="I56" i="7"/>
  <c r="H55" i="7"/>
  <c r="F49" i="7"/>
  <c r="H62" i="7"/>
  <c r="V43" i="7"/>
  <c r="H24" i="7"/>
  <c r="V54" i="7" l="1"/>
  <c r="V83" i="7" s="1"/>
  <c r="I32" i="7"/>
  <c r="I25" i="7"/>
  <c r="V72" i="7"/>
  <c r="V75" i="7"/>
  <c r="V74" i="7"/>
  <c r="V82" i="7"/>
  <c r="V63" i="7"/>
  <c r="I61" i="7"/>
  <c r="I63" i="7" s="1"/>
  <c r="V73" i="7" s="1"/>
  <c r="V76" i="7"/>
  <c r="V77" i="7"/>
  <c r="U87" i="7"/>
  <c r="T87" i="7"/>
  <c r="S87" i="7"/>
  <c r="R87" i="7"/>
  <c r="R86" i="7" s="1"/>
  <c r="Q87" i="7"/>
  <c r="Q86" i="7" s="1"/>
  <c r="R79" i="7"/>
  <c r="Q79" i="7"/>
  <c r="U78" i="7"/>
  <c r="T78" i="7"/>
  <c r="S78" i="7"/>
  <c r="R78" i="7"/>
  <c r="Q78" i="7"/>
  <c r="U68" i="7"/>
  <c r="U71" i="7" s="1"/>
  <c r="T68" i="7"/>
  <c r="S68" i="7"/>
  <c r="S71" i="7" s="1"/>
  <c r="R68" i="7"/>
  <c r="R71" i="7" s="1"/>
  <c r="Q68" i="7"/>
  <c r="Q71" i="7" s="1"/>
  <c r="U43" i="7"/>
  <c r="T43" i="7"/>
  <c r="S43" i="7"/>
  <c r="R43" i="7"/>
  <c r="Q43" i="7"/>
  <c r="U62" i="7"/>
  <c r="R62" i="7"/>
  <c r="Q62" i="7"/>
  <c r="T14" i="7"/>
  <c r="S14" i="7"/>
  <c r="R14" i="7"/>
  <c r="Q14" i="7"/>
  <c r="T11" i="7"/>
  <c r="T84" i="7" s="1"/>
  <c r="S11" i="7"/>
  <c r="F61" i="7" s="1"/>
  <c r="R11" i="7"/>
  <c r="E61" i="7" s="1"/>
  <c r="Q11" i="7"/>
  <c r="U7" i="7"/>
  <c r="U12" i="7" s="1"/>
  <c r="T7" i="7"/>
  <c r="T69" i="7" s="1"/>
  <c r="T72" i="7" s="1"/>
  <c r="S7" i="7"/>
  <c r="R7" i="7"/>
  <c r="Q7" i="7"/>
  <c r="Q69" i="7" s="1"/>
  <c r="Q72" i="7" s="1"/>
  <c r="G62" i="7"/>
  <c r="F62" i="7"/>
  <c r="E62" i="7"/>
  <c r="D62" i="7"/>
  <c r="H60" i="7"/>
  <c r="G60" i="7"/>
  <c r="F60" i="7"/>
  <c r="E60" i="7"/>
  <c r="D60" i="7"/>
  <c r="G55" i="7"/>
  <c r="F55" i="7"/>
  <c r="E55" i="7"/>
  <c r="D55" i="7"/>
  <c r="H54" i="7"/>
  <c r="H56" i="7" s="1"/>
  <c r="G54" i="7"/>
  <c r="F54" i="7"/>
  <c r="E54" i="7"/>
  <c r="D54" i="7"/>
  <c r="F51" i="7"/>
  <c r="G45" i="7" s="1"/>
  <c r="H49" i="7"/>
  <c r="G49" i="7"/>
  <c r="E49" i="7"/>
  <c r="D49" i="7"/>
  <c r="D51" i="7" s="1"/>
  <c r="E45" i="7" s="1"/>
  <c r="G38" i="7"/>
  <c r="F38" i="7"/>
  <c r="E38" i="7"/>
  <c r="G24" i="7"/>
  <c r="D24" i="7"/>
  <c r="H22" i="7"/>
  <c r="G22" i="7"/>
  <c r="E22" i="7"/>
  <c r="D22" i="7"/>
  <c r="H7" i="7"/>
  <c r="U80" i="7" s="1"/>
  <c r="G7" i="7"/>
  <c r="T80" i="7" s="1"/>
  <c r="F7" i="7"/>
  <c r="S80" i="7" s="1"/>
  <c r="E7" i="7"/>
  <c r="R80" i="7" s="1"/>
  <c r="D7" i="7"/>
  <c r="Q80" i="7" s="1"/>
  <c r="E6" i="7"/>
  <c r="D6" i="7"/>
  <c r="E5" i="7"/>
  <c r="D5" i="7"/>
  <c r="H4" i="7"/>
  <c r="G4" i="7"/>
  <c r="J6" i="7" s="1"/>
  <c r="F4" i="7"/>
  <c r="I6" i="7" s="1"/>
  <c r="P14" i="7"/>
  <c r="O14" i="7"/>
  <c r="C50" i="7"/>
  <c r="P78" i="7"/>
  <c r="B49" i="7"/>
  <c r="O43" i="7"/>
  <c r="O31" i="7"/>
  <c r="O62" i="7" s="1"/>
  <c r="O7" i="7"/>
  <c r="O11" i="7"/>
  <c r="B24" i="7"/>
  <c r="B32" i="7"/>
  <c r="P79" i="7"/>
  <c r="P43" i="7"/>
  <c r="C49" i="7"/>
  <c r="P86" i="7"/>
  <c r="C54" i="7"/>
  <c r="C56" i="7" s="1"/>
  <c r="C62" i="7"/>
  <c r="C60" i="7"/>
  <c r="P68" i="7"/>
  <c r="P11" i="7"/>
  <c r="P84" i="7" s="1"/>
  <c r="P31" i="7"/>
  <c r="P62" i="7" s="1"/>
  <c r="C5" i="7"/>
  <c r="C7" i="7"/>
  <c r="P80" i="7" s="1"/>
  <c r="J65" i="9"/>
  <c r="K65" i="9"/>
  <c r="L21" i="9"/>
  <c r="L32" i="9"/>
  <c r="L26" i="9" s="1"/>
  <c r="L31" i="9"/>
  <c r="M64" i="9"/>
  <c r="M65" i="9"/>
  <c r="P7" i="7"/>
  <c r="B7" i="7"/>
  <c r="B14" i="7" s="1"/>
  <c r="B23" i="7" s="1"/>
  <c r="F6" i="9"/>
  <c r="M66" i="9"/>
  <c r="L66" i="9"/>
  <c r="L67" i="9" s="1"/>
  <c r="K66" i="9"/>
  <c r="J66" i="9"/>
  <c r="I66" i="9"/>
  <c r="I65" i="9"/>
  <c r="K64" i="9"/>
  <c r="J64" i="9"/>
  <c r="I64" i="9"/>
  <c r="M63" i="9"/>
  <c r="L63" i="9"/>
  <c r="K63" i="9"/>
  <c r="J63" i="9"/>
  <c r="I63" i="9"/>
  <c r="F60" i="9"/>
  <c r="D60" i="9"/>
  <c r="C60" i="9"/>
  <c r="B60" i="9"/>
  <c r="F58" i="9"/>
  <c r="E58" i="9"/>
  <c r="D58" i="9"/>
  <c r="C58" i="9"/>
  <c r="B58" i="9"/>
  <c r="M53" i="9"/>
  <c r="M56" i="9" s="1"/>
  <c r="L53" i="9"/>
  <c r="L56" i="9" s="1"/>
  <c r="K53" i="9"/>
  <c r="K56" i="9" s="1"/>
  <c r="J53" i="9"/>
  <c r="J56" i="9" s="1"/>
  <c r="I53" i="9"/>
  <c r="I56" i="9" s="1"/>
  <c r="B51" i="9"/>
  <c r="B49" i="9"/>
  <c r="F48" i="9"/>
  <c r="E48" i="9"/>
  <c r="D48" i="9"/>
  <c r="B48" i="9"/>
  <c r="E44" i="9"/>
  <c r="D44" i="9"/>
  <c r="C44" i="9"/>
  <c r="B43" i="9"/>
  <c r="B44" i="9" s="1"/>
  <c r="M36" i="9"/>
  <c r="L36" i="9"/>
  <c r="K36" i="9"/>
  <c r="J36" i="9"/>
  <c r="I36" i="9"/>
  <c r="F34" i="9"/>
  <c r="F33" i="9"/>
  <c r="E33" i="9"/>
  <c r="D33" i="9"/>
  <c r="M26" i="9"/>
  <c r="M42" i="9" s="1"/>
  <c r="K26" i="9"/>
  <c r="K68" i="9" s="1"/>
  <c r="J26" i="9"/>
  <c r="J48" i="9" s="1"/>
  <c r="I26" i="9"/>
  <c r="I48" i="9" s="1"/>
  <c r="D22" i="9"/>
  <c r="C22" i="9"/>
  <c r="M10" i="9"/>
  <c r="F59" i="9" s="1"/>
  <c r="L10" i="9"/>
  <c r="K10" i="9"/>
  <c r="D59" i="9" s="1"/>
  <c r="J10" i="9"/>
  <c r="J69" i="9" s="1"/>
  <c r="I10" i="9"/>
  <c r="I69" i="9" s="1"/>
  <c r="F7" i="9"/>
  <c r="F13" i="9" s="1"/>
  <c r="E7" i="9"/>
  <c r="E13" i="9" s="1"/>
  <c r="E21" i="9" s="1"/>
  <c r="D7" i="9"/>
  <c r="D13" i="9" s="1"/>
  <c r="C7" i="9"/>
  <c r="C13" i="9" s="1"/>
  <c r="B7" i="9"/>
  <c r="B13" i="9" s="1"/>
  <c r="B21" i="9" s="1"/>
  <c r="K6" i="9"/>
  <c r="K54" i="9" s="1"/>
  <c r="K57" i="9" s="1"/>
  <c r="J6" i="9"/>
  <c r="J11" i="9" s="1"/>
  <c r="I5" i="9"/>
  <c r="I6" i="9" s="1"/>
  <c r="I11" i="9" s="1"/>
  <c r="E5" i="9"/>
  <c r="D5" i="9"/>
  <c r="M4" i="9"/>
  <c r="M6" i="9" s="1"/>
  <c r="L4" i="9"/>
  <c r="L6" i="9" s="1"/>
  <c r="I5" i="7" l="1"/>
  <c r="K6" i="7"/>
  <c r="O12" i="7"/>
  <c r="E56" i="7"/>
  <c r="U63" i="7"/>
  <c r="U79" i="7"/>
  <c r="L11" i="9"/>
  <c r="L54" i="9"/>
  <c r="L57" i="9" s="1"/>
  <c r="E51" i="7"/>
  <c r="P76" i="7"/>
  <c r="J61" i="9"/>
  <c r="J54" i="9"/>
  <c r="J57" i="9" s="1"/>
  <c r="P12" i="7"/>
  <c r="G51" i="7"/>
  <c r="H45" i="7" s="1"/>
  <c r="H51" i="7" s="1"/>
  <c r="I45" i="7" s="1"/>
  <c r="J12" i="9"/>
  <c r="K67" i="9"/>
  <c r="P63" i="7"/>
  <c r="B17" i="7"/>
  <c r="P69" i="7"/>
  <c r="P72" i="7" s="1"/>
  <c r="D56" i="7"/>
  <c r="R12" i="7"/>
  <c r="L49" i="9"/>
  <c r="D61" i="9"/>
  <c r="K58" i="9" s="1"/>
  <c r="F61" i="9"/>
  <c r="M58" i="9" s="1"/>
  <c r="M68" i="9"/>
  <c r="F14" i="7"/>
  <c r="I16" i="7" s="1"/>
  <c r="S86" i="7"/>
  <c r="J62" i="9"/>
  <c r="K62" i="9"/>
  <c r="L42" i="9"/>
  <c r="K49" i="9"/>
  <c r="T86" i="7"/>
  <c r="F5" i="7"/>
  <c r="D14" i="7"/>
  <c r="D16" i="7" s="1"/>
  <c r="Q77" i="7"/>
  <c r="Q81" i="7"/>
  <c r="Q82" i="7" s="1"/>
  <c r="E60" i="9"/>
  <c r="P81" i="7"/>
  <c r="P82" i="7" s="1"/>
  <c r="O63" i="7"/>
  <c r="U86" i="7"/>
  <c r="H6" i="7"/>
  <c r="Q84" i="7"/>
  <c r="F56" i="7"/>
  <c r="F63" i="7"/>
  <c r="S77" i="7"/>
  <c r="T63" i="7"/>
  <c r="T77" i="7"/>
  <c r="S79" i="7"/>
  <c r="R84" i="7"/>
  <c r="F14" i="9"/>
  <c r="F16" i="9"/>
  <c r="F21" i="9"/>
  <c r="M11" i="9"/>
  <c r="M60" i="9" s="1"/>
  <c r="M61" i="9"/>
  <c r="M54" i="9"/>
  <c r="M57" i="9" s="1"/>
  <c r="R63" i="7"/>
  <c r="I61" i="9"/>
  <c r="L48" i="9"/>
  <c r="L12" i="9" s="1"/>
  <c r="J49" i="9"/>
  <c r="C14" i="7"/>
  <c r="P85" i="7" s="1"/>
  <c r="Q76" i="7"/>
  <c r="T79" i="7"/>
  <c r="R81" i="7"/>
  <c r="R82" i="7" s="1"/>
  <c r="U76" i="7"/>
  <c r="U84" i="7"/>
  <c r="R76" i="7"/>
  <c r="S81" i="7"/>
  <c r="I49" i="9"/>
  <c r="G61" i="7"/>
  <c r="G63" i="7" s="1"/>
  <c r="S12" i="7"/>
  <c r="T12" i="7"/>
  <c r="S76" i="7"/>
  <c r="T81" i="7"/>
  <c r="S84" i="7"/>
  <c r="M62" i="9"/>
  <c r="M49" i="9"/>
  <c r="B25" i="7"/>
  <c r="E14" i="7"/>
  <c r="E16" i="7" s="1"/>
  <c r="H61" i="7"/>
  <c r="H63" i="7" s="1"/>
  <c r="S54" i="7"/>
  <c r="S83" i="7" s="1"/>
  <c r="Q54" i="7"/>
  <c r="Q83" i="7" s="1"/>
  <c r="T76" i="7"/>
  <c r="U81" i="7"/>
  <c r="L62" i="9"/>
  <c r="I62" i="9"/>
  <c r="I67" i="9"/>
  <c r="P54" i="7"/>
  <c r="F6" i="7"/>
  <c r="G56" i="7"/>
  <c r="T54" i="7"/>
  <c r="T83" i="7" s="1"/>
  <c r="S62" i="7"/>
  <c r="R69" i="7"/>
  <c r="R72" i="7" s="1"/>
  <c r="J67" i="9"/>
  <c r="C51" i="7"/>
  <c r="T62" i="7"/>
  <c r="S69" i="7"/>
  <c r="S72" i="7" s="1"/>
  <c r="R77" i="7"/>
  <c r="B59" i="9"/>
  <c r="B61" i="9" s="1"/>
  <c r="I58" i="9" s="1"/>
  <c r="I12" i="9"/>
  <c r="M67" i="9"/>
  <c r="P77" i="7"/>
  <c r="E63" i="7"/>
  <c r="U69" i="7"/>
  <c r="U72" i="7" s="1"/>
  <c r="U54" i="7"/>
  <c r="U83" i="7" s="1"/>
  <c r="U77" i="7"/>
  <c r="Q12" i="7"/>
  <c r="S63" i="7"/>
  <c r="Q63" i="7"/>
  <c r="D61" i="7"/>
  <c r="D63" i="7" s="1"/>
  <c r="R54" i="7"/>
  <c r="R83" i="7" s="1"/>
  <c r="V85" i="7"/>
  <c r="G6" i="7"/>
  <c r="G14" i="7"/>
  <c r="G5" i="7"/>
  <c r="H5" i="7"/>
  <c r="H14" i="7"/>
  <c r="E23" i="9"/>
  <c r="E47" i="9"/>
  <c r="E24" i="9"/>
  <c r="D14" i="9"/>
  <c r="D16" i="9"/>
  <c r="D21" i="9"/>
  <c r="E14" i="9"/>
  <c r="B47" i="9"/>
  <c r="B52" i="9" s="1"/>
  <c r="B54" i="9" s="1"/>
  <c r="B24" i="9"/>
  <c r="B29" i="9" s="1"/>
  <c r="I59" i="9" s="1"/>
  <c r="J60" i="9"/>
  <c r="C16" i="9"/>
  <c r="C21" i="9"/>
  <c r="F15" i="9"/>
  <c r="I42" i="9"/>
  <c r="I68" i="9" s="1"/>
  <c r="K42" i="9"/>
  <c r="E59" i="9"/>
  <c r="E61" i="9" s="1"/>
  <c r="L58" i="9" s="1"/>
  <c r="I60" i="9"/>
  <c r="K11" i="9"/>
  <c r="K60" i="9" s="1"/>
  <c r="F24" i="9"/>
  <c r="K48" i="9"/>
  <c r="K12" i="9" s="1"/>
  <c r="K61" i="9"/>
  <c r="L68" i="9"/>
  <c r="L60" i="9"/>
  <c r="L61" i="9"/>
  <c r="E16" i="9"/>
  <c r="O54" i="7"/>
  <c r="C61" i="7"/>
  <c r="C63" i="7" s="1"/>
  <c r="B16" i="9"/>
  <c r="C59" i="9"/>
  <c r="C61" i="9" s="1"/>
  <c r="J58" i="9" s="1"/>
  <c r="M48" i="9"/>
  <c r="M12" i="9" s="1"/>
  <c r="J42" i="9"/>
  <c r="J68" i="9" s="1"/>
  <c r="I15" i="7" l="1"/>
  <c r="K16" i="7"/>
  <c r="U82" i="7"/>
  <c r="Q85" i="7"/>
  <c r="D17" i="7"/>
  <c r="T85" i="7"/>
  <c r="J16" i="7"/>
  <c r="J45" i="7"/>
  <c r="J51" i="7" s="1"/>
  <c r="K45" i="7" s="1"/>
  <c r="P73" i="7"/>
  <c r="S85" i="7"/>
  <c r="S73" i="7"/>
  <c r="F23" i="7"/>
  <c r="S75" i="7" s="1"/>
  <c r="D23" i="7"/>
  <c r="D29" i="7" s="1"/>
  <c r="Q74" i="7" s="1"/>
  <c r="T73" i="7"/>
  <c r="F15" i="7"/>
  <c r="F17" i="7"/>
  <c r="U85" i="7"/>
  <c r="H23" i="7"/>
  <c r="U75" i="7" s="1"/>
  <c r="D15" i="7"/>
  <c r="Q73" i="7"/>
  <c r="U73" i="7"/>
  <c r="S82" i="7"/>
  <c r="E23" i="7"/>
  <c r="E29" i="7" s="1"/>
  <c r="R74" i="7" s="1"/>
  <c r="C17" i="7"/>
  <c r="C23" i="7"/>
  <c r="F16" i="7"/>
  <c r="R73" i="7"/>
  <c r="E15" i="7"/>
  <c r="R85" i="7"/>
  <c r="E17" i="7"/>
  <c r="T82" i="7"/>
  <c r="F23" i="9"/>
  <c r="F47" i="9"/>
  <c r="H16" i="7"/>
  <c r="H15" i="7"/>
  <c r="H17" i="7"/>
  <c r="G17" i="7"/>
  <c r="G16" i="7"/>
  <c r="G23" i="7"/>
  <c r="T75" i="7" s="1"/>
  <c r="G15" i="7"/>
  <c r="C23" i="9"/>
  <c r="C24" i="9"/>
  <c r="E29" i="9"/>
  <c r="E25" i="9"/>
  <c r="F29" i="9"/>
  <c r="F25" i="9"/>
  <c r="D24" i="9"/>
  <c r="D23" i="9"/>
  <c r="D47" i="9"/>
  <c r="D52" i="9" s="1"/>
  <c r="D54" i="9" s="1"/>
  <c r="D25" i="7" l="1"/>
  <c r="K51" i="7"/>
  <c r="F25" i="7"/>
  <c r="E25" i="7"/>
  <c r="F29" i="7"/>
  <c r="I34" i="7" s="1"/>
  <c r="C29" i="7"/>
  <c r="C25" i="7"/>
  <c r="I31" i="7"/>
  <c r="D34" i="7"/>
  <c r="D31" i="7"/>
  <c r="D32" i="7"/>
  <c r="E33" i="7"/>
  <c r="E34" i="7"/>
  <c r="E31" i="7"/>
  <c r="E32" i="7" s="1"/>
  <c r="H29" i="7"/>
  <c r="K34" i="7" s="1"/>
  <c r="H25" i="7"/>
  <c r="G25" i="7"/>
  <c r="G29" i="7"/>
  <c r="J34" i="7" s="1"/>
  <c r="L59" i="9"/>
  <c r="M59" i="9"/>
  <c r="F30" i="9"/>
  <c r="D29" i="9"/>
  <c r="E30" i="9" s="1"/>
  <c r="D25" i="9"/>
  <c r="C29" i="9"/>
  <c r="J59" i="9" s="1"/>
  <c r="C25" i="9"/>
  <c r="G33" i="7" l="1"/>
  <c r="G34" i="7"/>
  <c r="H33" i="7"/>
  <c r="H34" i="7"/>
  <c r="I33" i="7"/>
  <c r="S74" i="7"/>
  <c r="F34" i="7"/>
  <c r="F31" i="7"/>
  <c r="F31" i="9"/>
  <c r="F32" i="7"/>
  <c r="F33" i="7"/>
  <c r="H31" i="7"/>
  <c r="H32" i="7" s="1"/>
  <c r="U74" i="7"/>
  <c r="T74" i="7"/>
  <c r="P74" i="7"/>
  <c r="C32" i="7"/>
  <c r="G32" i="7"/>
  <c r="G31" i="7"/>
  <c r="K59" i="9"/>
  <c r="D30" i="9"/>
</calcChain>
</file>

<file path=xl/sharedStrings.xml><?xml version="1.0" encoding="utf-8"?>
<sst xmlns="http://schemas.openxmlformats.org/spreadsheetml/2006/main" count="376" uniqueCount="169">
  <si>
    <t>Y/E, Mar (Rs. mn)</t>
  </si>
  <si>
    <t>Growth (%)</t>
  </si>
  <si>
    <t>Expenditure</t>
  </si>
  <si>
    <t>EBITDA</t>
  </si>
  <si>
    <t>EBITDA margin (%)</t>
  </si>
  <si>
    <t>Other Income</t>
  </si>
  <si>
    <t>PBT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</si>
  <si>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</si>
  <si>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</si>
  <si>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</si>
  <si>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</si>
  <si>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</si>
  <si>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</si>
  <si>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</si>
  <si>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</si>
  <si>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</si>
  <si>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</si>
  <si>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</si>
  <si>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</si>
  <si>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</si>
  <si>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</si>
  <si>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</si>
  <si>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</si>
  <si>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</si>
  <si>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</si>
  <si>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</si>
  <si>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</si>
  <si>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FY14</t>
  </si>
  <si>
    <t>FY16</t>
  </si>
  <si>
    <t>FY17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</si>
  <si>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</si>
  <si>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</si>
  <si>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</si>
  <si>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</si>
  <si>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</si>
  <si>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</si>
  <si>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</si>
  <si>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</si>
  <si>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</si>
  <si>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</si>
  <si>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</si>
  <si>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</si>
  <si>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</si>
  <si>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</si>
  <si>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</si>
  <si>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</si>
  <si>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</si>
  <si>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</si>
  <si>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</si>
  <si>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</si>
  <si>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</si>
  <si>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</si>
  <si>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</si>
  <si>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</si>
  <si>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</si>
  <si>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</si>
  <si>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</si>
  <si>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</si>
  <si>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</si>
  <si>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</si>
  <si>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</si>
  <si>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</si>
  <si>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</si>
  <si>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</si>
  <si>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</si>
  <si>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</si>
  <si>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</si>
  <si>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</si>
  <si>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Cash Flow from Investing Activities</t>
  </si>
  <si>
    <t>PAT margin (%)</t>
  </si>
  <si>
    <t>Cash Conversion cycle</t>
  </si>
  <si>
    <t>FY18</t>
  </si>
  <si>
    <t>Interest Cost</t>
  </si>
  <si>
    <t>TOTAL ASSETS</t>
  </si>
  <si>
    <t>TOTAL LIABILITIES</t>
  </si>
  <si>
    <t>Balance Sheet</t>
  </si>
  <si>
    <t>Income Statement</t>
  </si>
  <si>
    <t>FY19</t>
  </si>
  <si>
    <t>Revenue from Operations</t>
  </si>
  <si>
    <t>Equity Share Capital</t>
  </si>
  <si>
    <t>Other Equity</t>
  </si>
  <si>
    <t>CAGR (%) - 3 Years</t>
  </si>
  <si>
    <t>Cost of materials cosnumed</t>
  </si>
  <si>
    <t>Property, Palnt and Equipment</t>
  </si>
  <si>
    <t>Capital WIP</t>
  </si>
  <si>
    <t>Financial Assets</t>
  </si>
  <si>
    <t>Depreciation and amortisation cost</t>
  </si>
  <si>
    <t>Finance Cost</t>
  </si>
  <si>
    <t>b) Other financial assets</t>
  </si>
  <si>
    <t>Excp Item</t>
  </si>
  <si>
    <t>Other Non-Current assets</t>
  </si>
  <si>
    <t>c) Cash &amp; Cash Equivalents</t>
  </si>
  <si>
    <t>Share of Profit of associates</t>
  </si>
  <si>
    <t>PAT After MI (Total Comprehensive Income)</t>
  </si>
  <si>
    <t>CAGR (%)</t>
  </si>
  <si>
    <t>Current Financial Liabilities</t>
  </si>
  <si>
    <t>a) Trade Payables</t>
  </si>
  <si>
    <t>b) Other Financial liabilities</t>
  </si>
  <si>
    <t>Long Term Provisions</t>
  </si>
  <si>
    <t>Deferred Tax Liability (Net)</t>
  </si>
  <si>
    <t>Other Financial Liabilities</t>
  </si>
  <si>
    <t>Intangible Assets</t>
  </si>
  <si>
    <t>Goodwill</t>
  </si>
  <si>
    <t>Deferred Tax Assets</t>
  </si>
  <si>
    <t>b) Loans to subsidaries</t>
  </si>
  <si>
    <t>Non-Current Tax Assets (Net)</t>
  </si>
  <si>
    <t>Non-Current Assets Classified as Sale</t>
  </si>
  <si>
    <t>Provision</t>
  </si>
  <si>
    <t>East West Ltd. (Standalone)</t>
  </si>
  <si>
    <t>Purchase of Stock in Trade</t>
  </si>
  <si>
    <t>a) Investments</t>
  </si>
  <si>
    <t>b) Trade and other Recievable</t>
  </si>
  <si>
    <t>e) Other Current Financial Assets</t>
  </si>
  <si>
    <t>d) Loans</t>
  </si>
  <si>
    <t>b)Other Current liabilities</t>
  </si>
  <si>
    <t>c)Current Tax Liability (Net)</t>
  </si>
  <si>
    <t>Changes in inventories of FG, WIP and Stock</t>
  </si>
  <si>
    <t>Investment Property</t>
  </si>
  <si>
    <t>NA</t>
  </si>
  <si>
    <t>d) Bank Balances</t>
  </si>
  <si>
    <t>e) Loans</t>
  </si>
  <si>
    <t xml:space="preserve">Changes in inventories </t>
  </si>
  <si>
    <t>Share of profit / (loss) of a joint venture</t>
  </si>
  <si>
    <t>Other intangible assets</t>
  </si>
  <si>
    <t>Intangible assets under development</t>
  </si>
  <si>
    <t>d) Other financial assets</t>
  </si>
  <si>
    <t>Deferred Tax Asset (Net)</t>
  </si>
  <si>
    <t>Right of use Asset</t>
  </si>
  <si>
    <t xml:space="preserve">Share Pending Issuance </t>
  </si>
  <si>
    <t>Lease Liabilities</t>
  </si>
  <si>
    <t>Property, Plant and Equipment</t>
  </si>
  <si>
    <t>Fixed asset turnover</t>
  </si>
  <si>
    <t>Other Non Current Liabilities</t>
  </si>
  <si>
    <t>FY20</t>
  </si>
  <si>
    <t>Interest Coverage</t>
  </si>
  <si>
    <t>Exceptional items ( net )</t>
  </si>
  <si>
    <t>Share of profit/(loss) of associates and Joint ventures(net)</t>
  </si>
  <si>
    <t>b) Other Investment</t>
  </si>
  <si>
    <t>a) Investments in associates &amp; JV</t>
  </si>
  <si>
    <t>c) Loans</t>
  </si>
  <si>
    <t>f) Others Current financial Asset</t>
  </si>
  <si>
    <t>Assets classified as held for disposal</t>
  </si>
  <si>
    <t>Government Grants</t>
  </si>
  <si>
    <t>Net non-current employee defined benefit liabilities</t>
  </si>
  <si>
    <t>Government grants</t>
  </si>
  <si>
    <t>Net Employee Defined Benefit Liability</t>
  </si>
  <si>
    <t>Liabilities for current tax (net)</t>
  </si>
  <si>
    <t>Liabilities directly associated with assets classified as held for disposal</t>
  </si>
  <si>
    <t>Centum Electronics Ltd (Consolidated)</t>
  </si>
  <si>
    <t>PAT from continuing operations</t>
  </si>
  <si>
    <t>PAT Margins from continuing operations</t>
  </si>
  <si>
    <t>FY21</t>
  </si>
  <si>
    <t>FY22</t>
  </si>
  <si>
    <t>PAT from discontinued operations</t>
  </si>
  <si>
    <t xml:space="preserve">Fixed asset </t>
  </si>
  <si>
    <t>FY23</t>
  </si>
  <si>
    <t xml:space="preserve">FY23 </t>
  </si>
  <si>
    <t>NON-CURRENT ASSETS</t>
  </si>
  <si>
    <t>c) Trade Receivables</t>
  </si>
  <si>
    <t>NET CURRENT LIABILITIES</t>
  </si>
  <si>
    <t>FY24</t>
  </si>
  <si>
    <t>Exchanges Difference &amp; Cash eq in acquisition</t>
  </si>
  <si>
    <t>Loss on account of foreign exchange fluctuation</t>
  </si>
  <si>
    <t>FY25</t>
  </si>
  <si>
    <t>Other financial liabilities</t>
  </si>
  <si>
    <t>Diluted EPS from continuing and discontinued operations</t>
  </si>
  <si>
    <t>FY26</t>
  </si>
  <si>
    <t>Assets held for sale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</si>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</sst>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  <numFmt numFmtId="169" formatCode="[$-409]mmm/yy;@"/>
    <numFmt numFmtId="170" formatCode="#,##0.0"/>
    <numFmt numFmtId="171" formatCode="0.00&quot;x&quot;"/>
  </numFmts>
  <fonts count="2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9"/>
      <name val="Arial"/>
      <family val="2"/>
    </font>
    <font>
      <sz val="10"/>
      <color rgb="FF000000"/>
      <name val="MyFirstFont"/>
    </font>
    <font>
      <sz val="10"/>
      <name val="MyFirstFont"/>
    </font>
    <font>
      <b/>
      <sz val="9"/>
      <color theme="1"/>
      <name val="Arial"/>
      <family val="2"/>
    </font>
    <font>
      <sz val="10"/>
      <color theme="1"/>
      <name val="MyFirstFont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169" fontId="8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78">
    <xf numFmtId="0" fontId="0" fillId="0" borderId="0" xfId="0"/>
    <xf numFmtId="165" fontId="5" fillId="0" borderId="1" xfId="0" applyNumberFormat="1" applyFont="1" applyBorder="1"/>
    <xf numFmtId="0" fontId="5" fillId="0" borderId="0" xfId="0" applyFont="1"/>
    <xf numFmtId="165" fontId="5" fillId="0" borderId="0" xfId="0" applyNumberFormat="1" applyFont="1"/>
    <xf numFmtId="0" fontId="6" fillId="0" borderId="1" xfId="0" applyFont="1" applyBorder="1" applyAlignment="1">
      <alignment horizontal="right"/>
    </xf>
    <xf numFmtId="0" fontId="5" fillId="0" borderId="1" xfId="0" applyFont="1" applyBorder="1"/>
    <xf numFmtId="10" fontId="5" fillId="4" borderId="1" xfId="1" applyNumberFormat="1" applyFont="1" applyFill="1" applyBorder="1"/>
    <xf numFmtId="43" fontId="5" fillId="0" borderId="1" xfId="2" applyFont="1" applyFill="1" applyBorder="1"/>
    <xf numFmtId="168" fontId="6" fillId="0" borderId="1" xfId="2" applyNumberFormat="1" applyFont="1" applyFill="1" applyBorder="1"/>
    <xf numFmtId="168" fontId="6" fillId="4" borderId="1" xfId="2" applyNumberFormat="1" applyFont="1" applyFill="1" applyBorder="1"/>
    <xf numFmtId="168" fontId="5" fillId="0" borderId="1" xfId="2" applyNumberFormat="1" applyFont="1" applyBorder="1"/>
    <xf numFmtId="10" fontId="7" fillId="4" borderId="1" xfId="0" applyNumberFormat="1" applyFont="1" applyFill="1" applyBorder="1"/>
    <xf numFmtId="43" fontId="6" fillId="0" borderId="1" xfId="2" applyFont="1" applyFill="1" applyBorder="1"/>
    <xf numFmtId="168" fontId="5" fillId="4" borderId="1" xfId="2" applyNumberFormat="1" applyFont="1" applyFill="1" applyBorder="1"/>
    <xf numFmtId="167" fontId="5" fillId="0" borderId="1" xfId="2" applyNumberFormat="1" applyFont="1" applyFill="1" applyBorder="1"/>
    <xf numFmtId="1" fontId="5" fillId="4" borderId="1" xfId="0" applyNumberFormat="1" applyFont="1" applyFill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6" fillId="0" borderId="1" xfId="0" applyFont="1" applyBorder="1"/>
    <xf numFmtId="168" fontId="6" fillId="0" borderId="1" xfId="2" applyNumberFormat="1" applyFont="1" applyBorder="1"/>
    <xf numFmtId="10" fontId="5" fillId="0" borderId="0" xfId="1" applyNumberFormat="1" applyFont="1"/>
    <xf numFmtId="168" fontId="5" fillId="0" borderId="1" xfId="2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168" fontId="5" fillId="0" borderId="0" xfId="2" applyNumberFormat="1" applyFont="1"/>
    <xf numFmtId="10" fontId="6" fillId="4" borderId="1" xfId="0" applyNumberFormat="1" applyFont="1" applyFill="1" applyBorder="1"/>
    <xf numFmtId="43" fontId="5" fillId="0" borderId="0" xfId="0" applyNumberFormat="1" applyFont="1"/>
    <xf numFmtId="10" fontId="6" fillId="4" borderId="1" xfId="1" applyNumberFormat="1" applyFont="1" applyFill="1" applyBorder="1"/>
    <xf numFmtId="165" fontId="6" fillId="4" borderId="1" xfId="0" applyNumberFormat="1" applyFont="1" applyFill="1" applyBorder="1"/>
    <xf numFmtId="0" fontId="5" fillId="4" borderId="1" xfId="0" applyFont="1" applyFill="1" applyBorder="1"/>
    <xf numFmtId="10" fontId="5" fillId="4" borderId="1" xfId="0" applyNumberFormat="1" applyFont="1" applyFill="1" applyBorder="1"/>
    <xf numFmtId="166" fontId="5" fillId="4" borderId="1" xfId="0" applyNumberFormat="1" applyFont="1" applyFill="1" applyBorder="1"/>
    <xf numFmtId="0" fontId="6" fillId="0" borderId="0" xfId="0" applyFont="1" applyAlignment="1">
      <alignment horizontal="right"/>
    </xf>
    <xf numFmtId="0" fontId="6" fillId="3" borderId="1" xfId="0" applyFont="1" applyFill="1" applyBorder="1"/>
    <xf numFmtId="168" fontId="3" fillId="4" borderId="1" xfId="2" applyNumberFormat="1" applyFont="1" applyFill="1" applyBorder="1"/>
    <xf numFmtId="165" fontId="6" fillId="0" borderId="1" xfId="0" applyNumberFormat="1" applyFont="1" applyBorder="1"/>
    <xf numFmtId="43" fontId="6" fillId="0" borderId="1" xfId="2" applyFont="1" applyBorder="1"/>
    <xf numFmtId="43" fontId="6" fillId="4" borderId="1" xfId="2" applyFont="1" applyFill="1" applyBorder="1"/>
    <xf numFmtId="165" fontId="5" fillId="4" borderId="1" xfId="0" applyNumberFormat="1" applyFont="1" applyFill="1" applyBorder="1"/>
    <xf numFmtId="43" fontId="5" fillId="4" borderId="1" xfId="2" applyFont="1" applyFill="1" applyBorder="1"/>
    <xf numFmtId="168" fontId="2" fillId="4" borderId="1" xfId="2" applyNumberFormat="1" applyFont="1" applyFill="1" applyBorder="1"/>
    <xf numFmtId="166" fontId="5" fillId="0" borderId="1" xfId="0" applyNumberFormat="1" applyFont="1" applyBorder="1"/>
    <xf numFmtId="2" fontId="5" fillId="4" borderId="1" xfId="0" applyNumberFormat="1" applyFont="1" applyFill="1" applyBorder="1"/>
    <xf numFmtId="168" fontId="2" fillId="0" borderId="1" xfId="2" applyNumberFormat="1" applyFont="1" applyBorder="1"/>
    <xf numFmtId="168" fontId="3" fillId="0" borderId="1" xfId="2" applyNumberFormat="1" applyFont="1" applyBorder="1"/>
    <xf numFmtId="10" fontId="3" fillId="4" borderId="1" xfId="0" applyNumberFormat="1" applyFont="1" applyFill="1" applyBorder="1"/>
    <xf numFmtId="168" fontId="2" fillId="0" borderId="1" xfId="2" applyNumberFormat="1" applyFont="1" applyFill="1" applyBorder="1"/>
    <xf numFmtId="0" fontId="3" fillId="0" borderId="0" xfId="0" applyFont="1"/>
    <xf numFmtId="43" fontId="2" fillId="4" borderId="1" xfId="2" applyFont="1" applyFill="1" applyBorder="1"/>
    <xf numFmtId="43" fontId="3" fillId="4" borderId="1" xfId="2" applyFont="1" applyFill="1" applyBorder="1"/>
    <xf numFmtId="43" fontId="3" fillId="0" borderId="1" xfId="2" applyFont="1" applyFill="1" applyBorder="1"/>
    <xf numFmtId="2" fontId="3" fillId="4" borderId="1" xfId="0" applyNumberFormat="1" applyFont="1" applyFill="1" applyBorder="1"/>
    <xf numFmtId="10" fontId="3" fillId="4" borderId="1" xfId="1" applyNumberFormat="1" applyFont="1" applyFill="1" applyBorder="1"/>
    <xf numFmtId="1" fontId="3" fillId="4" borderId="1" xfId="0" applyNumberFormat="1" applyFont="1" applyFill="1" applyBorder="1"/>
    <xf numFmtId="2" fontId="2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3" fontId="11" fillId="0" borderId="0" xfId="0" applyNumberFormat="1" applyFont="1"/>
    <xf numFmtId="3" fontId="12" fillId="0" borderId="1" xfId="0" applyNumberFormat="1" applyFont="1" applyBorder="1"/>
    <xf numFmtId="166" fontId="3" fillId="4" borderId="1" xfId="0" applyNumberFormat="1" applyFont="1" applyFill="1" applyBorder="1"/>
    <xf numFmtId="168" fontId="13" fillId="0" borderId="1" xfId="2" applyNumberFormat="1" applyFont="1" applyFill="1" applyBorder="1"/>
    <xf numFmtId="168" fontId="13" fillId="4" borderId="1" xfId="2" applyNumberFormat="1" applyFont="1" applyFill="1" applyBorder="1"/>
    <xf numFmtId="10" fontId="1" fillId="4" borderId="1" xfId="0" applyNumberFormat="1" applyFont="1" applyFill="1" applyBorder="1"/>
    <xf numFmtId="0" fontId="2" fillId="0" borderId="1" xfId="0" applyFont="1" applyBorder="1" applyAlignment="1">
      <alignment horizontal="right"/>
    </xf>
    <xf numFmtId="43" fontId="2" fillId="0" borderId="1" xfId="2" applyFont="1" applyFill="1" applyBorder="1"/>
    <xf numFmtId="168" fontId="1" fillId="0" borderId="1" xfId="2" applyNumberFormat="1" applyFont="1" applyBorder="1"/>
    <xf numFmtId="0" fontId="6" fillId="4" borderId="1" xfId="0" applyFont="1" applyFill="1" applyBorder="1" applyAlignment="1">
      <alignment horizontal="right"/>
    </xf>
    <xf numFmtId="165" fontId="6" fillId="4" borderId="3" xfId="0" applyNumberFormat="1" applyFont="1" applyFill="1" applyBorder="1" applyAlignment="1">
      <alignment horizontal="right"/>
    </xf>
    <xf numFmtId="168" fontId="5" fillId="0" borderId="0" xfId="2" applyNumberFormat="1" applyFont="1" applyFill="1"/>
    <xf numFmtId="168" fontId="5" fillId="0" borderId="2" xfId="2" applyNumberFormat="1" applyFont="1" applyFill="1" applyBorder="1"/>
    <xf numFmtId="168" fontId="5" fillId="0" borderId="3" xfId="2" applyNumberFormat="1" applyFont="1" applyFill="1" applyBorder="1"/>
    <xf numFmtId="165" fontId="13" fillId="0" borderId="1" xfId="0" applyNumberFormat="1" applyFont="1" applyBorder="1"/>
    <xf numFmtId="165" fontId="1" fillId="0" borderId="1" xfId="0" applyNumberFormat="1" applyFont="1" applyBorder="1"/>
    <xf numFmtId="0" fontId="13" fillId="0" borderId="1" xfId="0" applyFont="1" applyBorder="1" applyAlignment="1">
      <alignment horizontal="center"/>
    </xf>
    <xf numFmtId="168" fontId="13" fillId="0" borderId="1" xfId="2" applyNumberFormat="1" applyFont="1" applyBorder="1"/>
    <xf numFmtId="168" fontId="13" fillId="4" borderId="3" xfId="2" applyNumberFormat="1" applyFont="1" applyFill="1" applyBorder="1"/>
    <xf numFmtId="43" fontId="13" fillId="4" borderId="1" xfId="2" applyFont="1" applyFill="1" applyBorder="1"/>
    <xf numFmtId="43" fontId="1" fillId="4" borderId="1" xfId="2" applyFont="1" applyFill="1" applyBorder="1"/>
    <xf numFmtId="2" fontId="1" fillId="4" borderId="1" xfId="0" applyNumberFormat="1" applyFont="1" applyFill="1" applyBorder="1"/>
    <xf numFmtId="10" fontId="1" fillId="4" borderId="1" xfId="1" applyNumberFormat="1" applyFont="1" applyFill="1" applyBorder="1"/>
    <xf numFmtId="1" fontId="1" fillId="4" borderId="1" xfId="0" applyNumberFormat="1" applyFont="1" applyFill="1" applyBorder="1"/>
    <xf numFmtId="3" fontId="14" fillId="0" borderId="1" xfId="0" applyNumberFormat="1" applyFont="1" applyBorder="1"/>
    <xf numFmtId="0" fontId="13" fillId="0" borderId="1" xfId="0" applyFont="1" applyBorder="1" applyAlignment="1">
      <alignment horizontal="right"/>
    </xf>
    <xf numFmtId="0" fontId="17" fillId="0" borderId="0" xfId="0" applyFont="1"/>
    <xf numFmtId="165" fontId="17" fillId="0" borderId="0" xfId="0" applyNumberFormat="1" applyFont="1"/>
    <xf numFmtId="170" fontId="17" fillId="0" borderId="0" xfId="0" applyNumberFormat="1" applyFont="1"/>
    <xf numFmtId="0" fontId="20" fillId="0" borderId="9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right" wrapText="1"/>
    </xf>
    <xf numFmtId="165" fontId="20" fillId="0" borderId="1" xfId="0" applyNumberFormat="1" applyFont="1" applyBorder="1" applyAlignment="1">
      <alignment wrapText="1"/>
    </xf>
    <xf numFmtId="165" fontId="16" fillId="0" borderId="1" xfId="2" applyNumberFormat="1" applyFont="1" applyFill="1" applyBorder="1" applyAlignment="1">
      <alignment wrapText="1"/>
    </xf>
    <xf numFmtId="168" fontId="16" fillId="0" borderId="1" xfId="2" applyNumberFormat="1" applyFont="1" applyFill="1" applyBorder="1" applyAlignment="1">
      <alignment wrapText="1"/>
    </xf>
    <xf numFmtId="168" fontId="20" fillId="0" borderId="1" xfId="2" applyNumberFormat="1" applyFont="1" applyFill="1" applyBorder="1" applyAlignment="1">
      <alignment wrapText="1"/>
    </xf>
    <xf numFmtId="0" fontId="0" fillId="0" borderId="9" xfId="0" applyBorder="1" applyAlignment="1">
      <alignment wrapText="1"/>
    </xf>
    <xf numFmtId="3" fontId="0" fillId="0" borderId="1" xfId="0" applyNumberFormat="1" applyBorder="1" applyAlignment="1">
      <alignment wrapText="1"/>
    </xf>
    <xf numFmtId="170" fontId="0" fillId="0" borderId="1" xfId="0" applyNumberFormat="1" applyBorder="1" applyAlignment="1">
      <alignment wrapText="1"/>
    </xf>
    <xf numFmtId="168" fontId="0" fillId="0" borderId="1" xfId="2" applyNumberFormat="1" applyFont="1" applyBorder="1" applyAlignment="1">
      <alignment wrapText="1"/>
    </xf>
    <xf numFmtId="168" fontId="0" fillId="0" borderId="1" xfId="2" applyNumberFormat="1" applyFont="1" applyFill="1" applyBorder="1" applyAlignment="1">
      <alignment wrapText="1"/>
    </xf>
    <xf numFmtId="0" fontId="21" fillId="4" borderId="9" xfId="0" applyFont="1" applyFill="1" applyBorder="1" applyAlignment="1">
      <alignment wrapText="1"/>
    </xf>
    <xf numFmtId="10" fontId="22" fillId="4" borderId="1" xfId="0" applyNumberFormat="1" applyFont="1" applyFill="1" applyBorder="1" applyAlignment="1">
      <alignment wrapText="1"/>
    </xf>
    <xf numFmtId="166" fontId="22" fillId="4" borderId="1" xfId="1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8" fontId="16" fillId="4" borderId="1" xfId="2" applyNumberFormat="1" applyFont="1" applyFill="1" applyBorder="1" applyAlignment="1">
      <alignment wrapText="1"/>
    </xf>
    <xf numFmtId="166" fontId="16" fillId="4" borderId="1" xfId="1" applyNumberFormat="1" applyFont="1" applyFill="1" applyBorder="1" applyAlignment="1">
      <alignment wrapText="1"/>
    </xf>
    <xf numFmtId="0" fontId="20" fillId="4" borderId="9" xfId="0" applyFont="1" applyFill="1" applyBorder="1" applyAlignment="1">
      <alignment wrapText="1"/>
    </xf>
    <xf numFmtId="165" fontId="16" fillId="4" borderId="1" xfId="2" applyNumberFormat="1" applyFont="1" applyFill="1" applyBorder="1" applyAlignment="1">
      <alignment wrapText="1"/>
    </xf>
    <xf numFmtId="168" fontId="20" fillId="4" borderId="1" xfId="2" applyNumberFormat="1" applyFont="1" applyFill="1" applyBorder="1" applyAlignment="1">
      <alignment wrapText="1"/>
    </xf>
    <xf numFmtId="0" fontId="16" fillId="4" borderId="9" xfId="0" applyFont="1" applyFill="1" applyBorder="1" applyAlignment="1">
      <alignment wrapText="1"/>
    </xf>
    <xf numFmtId="170" fontId="16" fillId="4" borderId="1" xfId="2" applyNumberFormat="1" applyFont="1" applyFill="1" applyBorder="1" applyAlignment="1">
      <alignment wrapText="1"/>
    </xf>
    <xf numFmtId="0" fontId="17" fillId="0" borderId="9" xfId="0" applyFont="1" applyBorder="1" applyAlignment="1">
      <alignment wrapText="1"/>
    </xf>
    <xf numFmtId="165" fontId="0" fillId="0" borderId="1" xfId="0" applyNumberFormat="1" applyBorder="1" applyAlignment="1">
      <alignment wrapText="1"/>
    </xf>
    <xf numFmtId="168" fontId="17" fillId="0" borderId="1" xfId="2" applyNumberFormat="1" applyFont="1" applyFill="1" applyBorder="1" applyAlignment="1">
      <alignment wrapText="1"/>
    </xf>
    <xf numFmtId="165" fontId="17" fillId="0" borderId="1" xfId="0" applyNumberFormat="1" applyFont="1" applyBorder="1" applyAlignment="1">
      <alignment wrapText="1"/>
    </xf>
    <xf numFmtId="165" fontId="0" fillId="0" borderId="1" xfId="2" applyNumberFormat="1" applyFont="1" applyFill="1" applyBorder="1" applyAlignment="1">
      <alignment wrapText="1"/>
    </xf>
    <xf numFmtId="10" fontId="16" fillId="4" borderId="1" xfId="0" applyNumberFormat="1" applyFont="1" applyFill="1" applyBorder="1" applyAlignment="1">
      <alignment wrapText="1"/>
    </xf>
    <xf numFmtId="10" fontId="16" fillId="4" borderId="1" xfId="1" applyNumberFormat="1" applyFont="1" applyFill="1" applyBorder="1" applyAlignment="1">
      <alignment wrapText="1"/>
    </xf>
    <xf numFmtId="10" fontId="20" fillId="4" borderId="1" xfId="1" applyNumberFormat="1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170" fontId="17" fillId="0" borderId="1" xfId="0" applyNumberFormat="1" applyFont="1" applyBorder="1" applyAlignment="1">
      <alignment wrapText="1"/>
    </xf>
    <xf numFmtId="168" fontId="17" fillId="0" borderId="1" xfId="2" applyNumberFormat="1" applyFont="1" applyBorder="1" applyAlignment="1">
      <alignment wrapText="1"/>
    </xf>
    <xf numFmtId="0" fontId="21" fillId="0" borderId="9" xfId="0" applyFont="1" applyBorder="1" applyAlignment="1">
      <alignment wrapText="1"/>
    </xf>
    <xf numFmtId="10" fontId="22" fillId="0" borderId="1" xfId="0" applyNumberFormat="1" applyFont="1" applyBorder="1" applyAlignment="1">
      <alignment wrapText="1"/>
    </xf>
    <xf numFmtId="166" fontId="22" fillId="0" borderId="1" xfId="1" applyNumberFormat="1" applyFont="1" applyFill="1" applyBorder="1" applyAlignment="1">
      <alignment wrapText="1"/>
    </xf>
    <xf numFmtId="165" fontId="17" fillId="0" borderId="1" xfId="0" applyNumberFormat="1" applyFont="1" applyBorder="1" applyAlignment="1">
      <alignment horizontal="right" wrapText="1"/>
    </xf>
    <xf numFmtId="165" fontId="17" fillId="5" borderId="1" xfId="0" applyNumberFormat="1" applyFont="1" applyFill="1" applyBorder="1" applyAlignment="1">
      <alignment horizontal="right" wrapText="1"/>
    </xf>
    <xf numFmtId="165" fontId="20" fillId="4" borderId="1" xfId="0" applyNumberFormat="1" applyFont="1" applyFill="1" applyBorder="1" applyAlignment="1">
      <alignment wrapText="1"/>
    </xf>
    <xf numFmtId="165" fontId="20" fillId="4" borderId="1" xfId="2" applyNumberFormat="1" applyFont="1" applyFill="1" applyBorder="1" applyAlignment="1">
      <alignment wrapText="1"/>
    </xf>
    <xf numFmtId="170" fontId="20" fillId="4" borderId="1" xfId="2" applyNumberFormat="1" applyFont="1" applyFill="1" applyBorder="1" applyAlignment="1">
      <alignment wrapText="1"/>
    </xf>
    <xf numFmtId="0" fontId="21" fillId="0" borderId="1" xfId="0" applyFont="1" applyBorder="1" applyAlignment="1">
      <alignment wrapText="1"/>
    </xf>
    <xf numFmtId="165" fontId="21" fillId="0" borderId="1" xfId="0" applyNumberFormat="1" applyFont="1" applyBorder="1" applyAlignment="1">
      <alignment wrapText="1"/>
    </xf>
    <xf numFmtId="165" fontId="22" fillId="0" borderId="1" xfId="0" applyNumberFormat="1" applyFont="1" applyBorder="1" applyAlignment="1">
      <alignment wrapText="1"/>
    </xf>
    <xf numFmtId="2" fontId="16" fillId="0" borderId="1" xfId="2" applyNumberFormat="1" applyFont="1" applyFill="1" applyBorder="1" applyAlignment="1">
      <alignment wrapText="1"/>
    </xf>
    <xf numFmtId="2" fontId="20" fillId="0" borderId="1" xfId="2" applyNumberFormat="1" applyFont="1" applyFill="1" applyBorder="1" applyAlignment="1">
      <alignment wrapText="1"/>
    </xf>
    <xf numFmtId="0" fontId="17" fillId="4" borderId="9" xfId="0" applyFont="1" applyFill="1" applyBorder="1" applyAlignment="1">
      <alignment wrapText="1"/>
    </xf>
    <xf numFmtId="0" fontId="17" fillId="4" borderId="1" xfId="0" applyFont="1" applyFill="1" applyBorder="1" applyAlignment="1">
      <alignment wrapText="1"/>
    </xf>
    <xf numFmtId="165" fontId="17" fillId="4" borderId="1" xfId="0" applyNumberFormat="1" applyFont="1" applyFill="1" applyBorder="1" applyAlignment="1">
      <alignment wrapText="1"/>
    </xf>
    <xf numFmtId="165" fontId="22" fillId="4" borderId="1" xfId="0" applyNumberFormat="1" applyFont="1" applyFill="1" applyBorder="1" applyAlignment="1">
      <alignment wrapText="1"/>
    </xf>
    <xf numFmtId="9" fontId="22" fillId="4" borderId="1" xfId="1" applyFont="1" applyFill="1" applyBorder="1" applyAlignment="1">
      <alignment wrapText="1"/>
    </xf>
    <xf numFmtId="0" fontId="17" fillId="0" borderId="15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165" fontId="17" fillId="0" borderId="12" xfId="0" applyNumberFormat="1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0" xfId="0" applyFont="1" applyAlignment="1">
      <alignment wrapText="1"/>
    </xf>
    <xf numFmtId="165" fontId="17" fillId="0" borderId="0" xfId="0" applyNumberFormat="1" applyFont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16" fillId="0" borderId="14" xfId="0" applyFont="1" applyBorder="1" applyAlignment="1">
      <alignment horizontal="center" wrapText="1"/>
    </xf>
    <xf numFmtId="165" fontId="16" fillId="0" borderId="14" xfId="0" applyNumberFormat="1" applyFont="1" applyBorder="1" applyAlignment="1">
      <alignment horizontal="center" wrapText="1"/>
    </xf>
    <xf numFmtId="165" fontId="16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43" fontId="16" fillId="4" borderId="1" xfId="2" applyFont="1" applyFill="1" applyBorder="1" applyAlignment="1">
      <alignment wrapText="1"/>
    </xf>
    <xf numFmtId="168" fontId="0" fillId="4" borderId="1" xfId="2" applyNumberFormat="1" applyFont="1" applyFill="1" applyBorder="1" applyAlignment="1">
      <alignment wrapText="1"/>
    </xf>
    <xf numFmtId="165" fontId="0" fillId="4" borderId="1" xfId="2" applyNumberFormat="1" applyFont="1" applyFill="1" applyBorder="1" applyAlignment="1">
      <alignment wrapText="1"/>
    </xf>
    <xf numFmtId="43" fontId="0" fillId="4" borderId="1" xfId="2" applyFont="1" applyFill="1" applyBorder="1" applyAlignment="1">
      <alignment wrapText="1"/>
    </xf>
    <xf numFmtId="0" fontId="20" fillId="0" borderId="15" xfId="0" applyFont="1" applyBorder="1" applyAlignment="1">
      <alignment wrapText="1"/>
    </xf>
    <xf numFmtId="168" fontId="16" fillId="4" borderId="12" xfId="2" applyNumberFormat="1" applyFont="1" applyFill="1" applyBorder="1" applyAlignment="1">
      <alignment wrapText="1"/>
    </xf>
    <xf numFmtId="165" fontId="16" fillId="4" borderId="12" xfId="2" applyNumberFormat="1" applyFont="1" applyFill="1" applyBorder="1" applyAlignment="1">
      <alignment wrapText="1"/>
    </xf>
    <xf numFmtId="0" fontId="20" fillId="3" borderId="14" xfId="0" applyFont="1" applyFill="1" applyBorder="1" applyAlignment="1">
      <alignment wrapText="1"/>
    </xf>
    <xf numFmtId="165" fontId="20" fillId="3" borderId="14" xfId="0" applyNumberFormat="1" applyFont="1" applyFill="1" applyBorder="1" applyAlignment="1">
      <alignment wrapText="1"/>
    </xf>
    <xf numFmtId="165" fontId="20" fillId="0" borderId="14" xfId="0" applyNumberFormat="1" applyFont="1" applyBorder="1" applyAlignment="1">
      <alignment horizontal="right" wrapText="1"/>
    </xf>
    <xf numFmtId="0" fontId="20" fillId="4" borderId="15" xfId="0" applyFont="1" applyFill="1" applyBorder="1" applyAlignment="1">
      <alignment wrapText="1"/>
    </xf>
    <xf numFmtId="0" fontId="20" fillId="4" borderId="12" xfId="0" applyFont="1" applyFill="1" applyBorder="1" applyAlignment="1">
      <alignment wrapText="1"/>
    </xf>
    <xf numFmtId="0" fontId="17" fillId="0" borderId="9" xfId="0" applyFont="1" applyBorder="1" applyAlignment="1">
      <alignment horizontal="left" wrapText="1"/>
    </xf>
    <xf numFmtId="0" fontId="17" fillId="0" borderId="13" xfId="0" applyFont="1" applyBorder="1" applyAlignment="1">
      <alignment wrapText="1"/>
    </xf>
    <xf numFmtId="3" fontId="23" fillId="0" borderId="14" xfId="0" applyNumberFormat="1" applyFont="1" applyBorder="1" applyAlignment="1">
      <alignment wrapText="1"/>
    </xf>
    <xf numFmtId="165" fontId="0" fillId="4" borderId="14" xfId="2" applyNumberFormat="1" applyFont="1" applyFill="1" applyBorder="1" applyAlignment="1">
      <alignment wrapText="1"/>
    </xf>
    <xf numFmtId="168" fontId="0" fillId="4" borderId="14" xfId="2" applyNumberFormat="1" applyFont="1" applyFill="1" applyBorder="1" applyAlignment="1">
      <alignment wrapText="1"/>
    </xf>
    <xf numFmtId="170" fontId="20" fillId="0" borderId="1" xfId="0" applyNumberFormat="1" applyFont="1" applyBorder="1" applyAlignment="1">
      <alignment wrapText="1"/>
    </xf>
    <xf numFmtId="0" fontId="15" fillId="0" borderId="0" xfId="0" applyFont="1" applyAlignment="1">
      <alignment wrapText="1"/>
    </xf>
    <xf numFmtId="165" fontId="20" fillId="0" borderId="9" xfId="0" applyNumberFormat="1" applyFont="1" applyBorder="1" applyAlignment="1">
      <alignment wrapText="1"/>
    </xf>
    <xf numFmtId="170" fontId="16" fillId="0" borderId="1" xfId="0" applyNumberFormat="1" applyFont="1" applyBorder="1" applyAlignment="1">
      <alignment wrapText="1"/>
    </xf>
    <xf numFmtId="43" fontId="16" fillId="0" borderId="1" xfId="2" applyFont="1" applyBorder="1" applyAlignment="1">
      <alignment wrapText="1"/>
    </xf>
    <xf numFmtId="165" fontId="20" fillId="4" borderId="9" xfId="0" applyNumberFormat="1" applyFont="1" applyFill="1" applyBorder="1" applyAlignment="1">
      <alignment wrapText="1"/>
    </xf>
    <xf numFmtId="165" fontId="17" fillId="4" borderId="9" xfId="0" applyNumberFormat="1" applyFont="1" applyFill="1" applyBorder="1" applyAlignment="1">
      <alignment wrapText="1"/>
    </xf>
    <xf numFmtId="170" fontId="0" fillId="4" borderId="1" xfId="2" applyNumberFormat="1" applyFont="1" applyFill="1" applyBorder="1" applyAlignment="1">
      <alignment wrapText="1"/>
    </xf>
    <xf numFmtId="43" fontId="0" fillId="4" borderId="1" xfId="2" applyFont="1" applyFill="1" applyBorder="1" applyAlignment="1">
      <alignment horizontal="right" wrapText="1"/>
    </xf>
    <xf numFmtId="43" fontId="0" fillId="4" borderId="3" xfId="2" applyFont="1" applyFill="1" applyBorder="1" applyAlignment="1">
      <alignment horizontal="right" wrapText="1"/>
    </xf>
    <xf numFmtId="170" fontId="0" fillId="4" borderId="1" xfId="0" applyNumberFormat="1" applyFill="1" applyBorder="1" applyAlignment="1">
      <alignment wrapText="1"/>
    </xf>
    <xf numFmtId="170" fontId="17" fillId="4" borderId="1" xfId="2" applyNumberFormat="1" applyFont="1" applyFill="1" applyBorder="1" applyAlignment="1">
      <alignment wrapText="1"/>
    </xf>
    <xf numFmtId="166" fontId="17" fillId="4" borderId="9" xfId="0" applyNumberFormat="1" applyFont="1" applyFill="1" applyBorder="1" applyAlignment="1">
      <alignment wrapText="1"/>
    </xf>
    <xf numFmtId="166" fontId="17" fillId="4" borderId="1" xfId="0" applyNumberFormat="1" applyFont="1" applyFill="1" applyBorder="1" applyAlignment="1">
      <alignment wrapText="1"/>
    </xf>
    <xf numFmtId="166" fontId="0" fillId="4" borderId="1" xfId="1" applyNumberFormat="1" applyFont="1" applyFill="1" applyBorder="1" applyAlignment="1">
      <alignment wrapText="1"/>
    </xf>
    <xf numFmtId="166" fontId="0" fillId="4" borderId="3" xfId="1" applyNumberFormat="1" applyFon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10" fontId="0" fillId="4" borderId="1" xfId="1" applyNumberFormat="1" applyFont="1" applyFill="1" applyBorder="1" applyAlignment="1">
      <alignment wrapText="1"/>
    </xf>
    <xf numFmtId="10" fontId="0" fillId="4" borderId="3" xfId="1" applyNumberFormat="1" applyFont="1" applyFill="1" applyBorder="1" applyAlignment="1">
      <alignment wrapText="1"/>
    </xf>
    <xf numFmtId="170" fontId="17" fillId="4" borderId="1" xfId="0" applyNumberFormat="1" applyFont="1" applyFill="1" applyBorder="1" applyAlignment="1">
      <alignment wrapText="1"/>
    </xf>
    <xf numFmtId="167" fontId="17" fillId="4" borderId="1" xfId="2" applyNumberFormat="1" applyFont="1" applyFill="1" applyBorder="1" applyAlignment="1">
      <alignment wrapText="1"/>
    </xf>
    <xf numFmtId="167" fontId="17" fillId="4" borderId="3" xfId="2" applyNumberFormat="1" applyFont="1" applyFill="1" applyBorder="1" applyAlignment="1">
      <alignment wrapText="1"/>
    </xf>
    <xf numFmtId="167" fontId="0" fillId="4" borderId="1" xfId="2" applyNumberFormat="1" applyFont="1" applyFill="1" applyBorder="1" applyAlignment="1">
      <alignment wrapText="1"/>
    </xf>
    <xf numFmtId="167" fontId="0" fillId="4" borderId="3" xfId="2" applyNumberFormat="1" applyFont="1" applyFill="1" applyBorder="1" applyAlignment="1">
      <alignment wrapText="1"/>
    </xf>
    <xf numFmtId="170" fontId="0" fillId="4" borderId="1" xfId="1" applyNumberFormat="1" applyFont="1" applyFill="1" applyBorder="1" applyAlignment="1">
      <alignment wrapText="1"/>
    </xf>
    <xf numFmtId="168" fontId="0" fillId="4" borderId="1" xfId="2" applyNumberFormat="1" applyFont="1" applyFill="1" applyBorder="1" applyAlignment="1">
      <alignment horizontal="right" wrapText="1"/>
    </xf>
    <xf numFmtId="168" fontId="0" fillId="4" borderId="3" xfId="2" applyNumberFormat="1" applyFont="1" applyFill="1" applyBorder="1" applyAlignment="1">
      <alignment horizontal="right" wrapText="1"/>
    </xf>
    <xf numFmtId="168" fontId="17" fillId="4" borderId="1" xfId="2" applyNumberFormat="1" applyFont="1" applyFill="1" applyBorder="1" applyAlignment="1">
      <alignment wrapText="1"/>
    </xf>
    <xf numFmtId="168" fontId="17" fillId="4" borderId="3" xfId="2" applyNumberFormat="1" applyFont="1" applyFill="1" applyBorder="1" applyAlignment="1">
      <alignment wrapText="1"/>
    </xf>
    <xf numFmtId="0" fontId="17" fillId="4" borderId="15" xfId="0" applyFont="1" applyFill="1" applyBorder="1" applyAlignment="1">
      <alignment wrapText="1"/>
    </xf>
    <xf numFmtId="0" fontId="17" fillId="4" borderId="12" xfId="0" applyFont="1" applyFill="1" applyBorder="1" applyAlignment="1">
      <alignment wrapText="1"/>
    </xf>
    <xf numFmtId="170" fontId="17" fillId="4" borderId="12" xfId="0" applyNumberFormat="1" applyFont="1" applyFill="1" applyBorder="1" applyAlignment="1">
      <alignment wrapText="1"/>
    </xf>
    <xf numFmtId="168" fontId="17" fillId="4" borderId="12" xfId="2" applyNumberFormat="1" applyFont="1" applyFill="1" applyBorder="1" applyAlignment="1">
      <alignment wrapText="1"/>
    </xf>
    <xf numFmtId="168" fontId="17" fillId="4" borderId="17" xfId="2" applyNumberFormat="1" applyFont="1" applyFill="1" applyBorder="1" applyAlignment="1">
      <alignment wrapText="1"/>
    </xf>
    <xf numFmtId="0" fontId="20" fillId="0" borderId="0" xfId="0" applyFont="1" applyAlignment="1">
      <alignment wrapText="1"/>
    </xf>
    <xf numFmtId="165" fontId="20" fillId="0" borderId="0" xfId="0" applyNumberFormat="1" applyFont="1" applyAlignment="1">
      <alignment wrapText="1"/>
    </xf>
    <xf numFmtId="165" fontId="15" fillId="0" borderId="0" xfId="0" applyNumberFormat="1" applyFont="1" applyAlignment="1">
      <alignment wrapText="1"/>
    </xf>
    <xf numFmtId="0" fontId="16" fillId="0" borderId="1" xfId="0" applyFont="1" applyBorder="1" applyAlignment="1">
      <alignment wrapText="1"/>
    </xf>
    <xf numFmtId="170" fontId="20" fillId="0" borderId="1" xfId="2" applyNumberFormat="1" applyFont="1" applyFill="1" applyBorder="1" applyAlignment="1">
      <alignment wrapText="1"/>
    </xf>
    <xf numFmtId="0" fontId="16" fillId="0" borderId="9" xfId="0" applyFont="1" applyBorder="1" applyAlignment="1">
      <alignment wrapText="1"/>
    </xf>
    <xf numFmtId="0" fontId="20" fillId="0" borderId="11" xfId="0" applyFont="1" applyBorder="1" applyAlignment="1">
      <alignment horizontal="right" wrapText="1"/>
    </xf>
    <xf numFmtId="9" fontId="20" fillId="4" borderId="15" xfId="1" applyFont="1" applyFill="1" applyBorder="1" applyAlignment="1">
      <alignment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168" fontId="20" fillId="0" borderId="0" xfId="2" applyNumberFormat="1" applyFont="1" applyFill="1" applyBorder="1" applyAlignment="1">
      <alignment wrapText="1"/>
    </xf>
    <xf numFmtId="166" fontId="22" fillId="0" borderId="0" xfId="1" applyNumberFormat="1" applyFont="1" applyFill="1" applyBorder="1" applyAlignment="1">
      <alignment wrapText="1"/>
    </xf>
    <xf numFmtId="168" fontId="17" fillId="0" borderId="0" xfId="2" applyNumberFormat="1" applyFont="1" applyFill="1" applyBorder="1" applyAlignment="1">
      <alignment wrapText="1"/>
    </xf>
    <xf numFmtId="10" fontId="20" fillId="0" borderId="0" xfId="1" applyNumberFormat="1" applyFont="1" applyFill="1" applyBorder="1" applyAlignment="1">
      <alignment wrapText="1"/>
    </xf>
    <xf numFmtId="165" fontId="17" fillId="0" borderId="0" xfId="0" applyNumberFormat="1" applyFont="1" applyAlignment="1">
      <alignment horizontal="right" wrapText="1"/>
    </xf>
    <xf numFmtId="2" fontId="20" fillId="0" borderId="0" xfId="2" applyNumberFormat="1" applyFont="1" applyFill="1" applyBorder="1" applyAlignment="1">
      <alignment wrapText="1"/>
    </xf>
    <xf numFmtId="9" fontId="22" fillId="0" borderId="0" xfId="1" applyFont="1" applyFill="1" applyBorder="1" applyAlignment="1">
      <alignment wrapText="1"/>
    </xf>
    <xf numFmtId="168" fontId="16" fillId="0" borderId="0" xfId="2" applyNumberFormat="1" applyFont="1" applyFill="1" applyBorder="1" applyAlignment="1">
      <alignment wrapText="1"/>
    </xf>
    <xf numFmtId="43" fontId="16" fillId="0" borderId="0" xfId="2" applyFont="1" applyFill="1" applyBorder="1" applyAlignment="1">
      <alignment wrapText="1"/>
    </xf>
    <xf numFmtId="43" fontId="0" fillId="0" borderId="0" xfId="2" applyFont="1" applyFill="1" applyBorder="1" applyAlignment="1">
      <alignment wrapText="1"/>
    </xf>
    <xf numFmtId="168" fontId="0" fillId="0" borderId="0" xfId="2" applyNumberFormat="1" applyFont="1" applyFill="1" applyBorder="1" applyAlignment="1">
      <alignment wrapText="1"/>
    </xf>
    <xf numFmtId="168" fontId="20" fillId="4" borderId="12" xfId="2" applyNumberFormat="1" applyFont="1" applyFill="1" applyBorder="1" applyAlignment="1">
      <alignment wrapText="1"/>
    </xf>
    <xf numFmtId="170" fontId="20" fillId="4" borderId="12" xfId="2" applyNumberFormat="1" applyFont="1" applyFill="1" applyBorder="1" applyAlignment="1">
      <alignment wrapText="1"/>
    </xf>
    <xf numFmtId="168" fontId="17" fillId="0" borderId="3" xfId="2" applyNumberFormat="1" applyFont="1" applyBorder="1" applyAlignment="1">
      <alignment wrapText="1"/>
    </xf>
    <xf numFmtId="168" fontId="16" fillId="4" borderId="3" xfId="2" applyNumberFormat="1" applyFont="1" applyFill="1" applyBorder="1" applyAlignment="1">
      <alignment wrapText="1"/>
    </xf>
    <xf numFmtId="0" fontId="20" fillId="0" borderId="3" xfId="0" applyFont="1" applyBorder="1" applyAlignment="1">
      <alignment horizontal="right" wrapText="1"/>
    </xf>
    <xf numFmtId="168" fontId="17" fillId="0" borderId="3" xfId="2" applyNumberFormat="1" applyFont="1" applyFill="1" applyBorder="1" applyAlignment="1">
      <alignment wrapText="1"/>
    </xf>
    <xf numFmtId="168" fontId="20" fillId="4" borderId="3" xfId="2" applyNumberFormat="1" applyFont="1" applyFill="1" applyBorder="1" applyAlignment="1">
      <alignment wrapText="1"/>
    </xf>
    <xf numFmtId="168" fontId="0" fillId="0" borderId="3" xfId="2" applyNumberFormat="1" applyFont="1" applyFill="1" applyBorder="1" applyAlignment="1">
      <alignment wrapText="1"/>
    </xf>
    <xf numFmtId="168" fontId="20" fillId="4" borderId="17" xfId="2" applyNumberFormat="1" applyFont="1" applyFill="1" applyBorder="1" applyAlignment="1">
      <alignment wrapText="1"/>
    </xf>
    <xf numFmtId="165" fontId="0" fillId="0" borderId="11" xfId="0" applyNumberFormat="1" applyBorder="1"/>
    <xf numFmtId="165" fontId="16" fillId="4" borderId="11" xfId="2" applyNumberFormat="1" applyFont="1" applyFill="1" applyBorder="1" applyAlignment="1">
      <alignment wrapText="1"/>
    </xf>
    <xf numFmtId="165" fontId="20" fillId="4" borderId="11" xfId="2" applyNumberFormat="1" applyFont="1" applyFill="1" applyBorder="1" applyAlignment="1">
      <alignment wrapText="1"/>
    </xf>
    <xf numFmtId="165" fontId="20" fillId="4" borderId="16" xfId="2" applyNumberFormat="1" applyFont="1" applyFill="1" applyBorder="1" applyAlignment="1">
      <alignment wrapText="1"/>
    </xf>
    <xf numFmtId="0" fontId="20" fillId="4" borderId="15" xfId="0" applyFont="1" applyFill="1" applyBorder="1" applyAlignment="1">
      <alignment horizontal="left" vertical="top" wrapText="1"/>
    </xf>
    <xf numFmtId="171" fontId="0" fillId="4" borderId="3" xfId="2" applyNumberFormat="1" applyFont="1" applyFill="1" applyBorder="1" applyAlignment="1">
      <alignment horizontal="right" wrapText="1"/>
    </xf>
    <xf numFmtId="171" fontId="17" fillId="4" borderId="3" xfId="2" applyNumberFormat="1" applyFont="1" applyFill="1" applyBorder="1" applyAlignment="1">
      <alignment wrapText="1"/>
    </xf>
    <xf numFmtId="0" fontId="19" fillId="0" borderId="18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7" fillId="0" borderId="0" xfId="0" applyFont="1" applyBorder="1" applyAlignment="1">
      <alignment wrapText="1"/>
    </xf>
    <xf numFmtId="0" fontId="20" fillId="0" borderId="21" xfId="0" applyFont="1" applyBorder="1" applyAlignment="1">
      <alignment wrapText="1"/>
    </xf>
    <xf numFmtId="0" fontId="20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right" wrapText="1"/>
    </xf>
    <xf numFmtId="0" fontId="20" fillId="0" borderId="7" xfId="0" applyFont="1" applyBorder="1" applyAlignment="1">
      <alignment horizontal="right" wrapText="1"/>
    </xf>
    <xf numFmtId="0" fontId="19" fillId="0" borderId="22" xfId="0" applyFont="1" applyBorder="1" applyAlignment="1">
      <alignment horizontal="center" wrapText="1"/>
    </xf>
    <xf numFmtId="0" fontId="19" fillId="0" borderId="23" xfId="0" applyFont="1" applyBorder="1" applyAlignment="1">
      <alignment horizontal="center" wrapText="1"/>
    </xf>
    <xf numFmtId="0" fontId="19" fillId="0" borderId="24" xfId="0" applyFont="1" applyBorder="1" applyAlignment="1">
      <alignment horizontal="center" wrapText="1"/>
    </xf>
    <xf numFmtId="0" fontId="17" fillId="0" borderId="25" xfId="0" applyFont="1" applyBorder="1" applyAlignment="1">
      <alignment wrapText="1"/>
    </xf>
    <xf numFmtId="0" fontId="17" fillId="0" borderId="26" xfId="0" applyFont="1" applyBorder="1" applyAlignment="1">
      <alignment wrapText="1"/>
    </xf>
    <xf numFmtId="0" fontId="17" fillId="0" borderId="6" xfId="0" applyFont="1" applyBorder="1" applyAlignment="1">
      <alignment wrapText="1"/>
    </xf>
    <xf numFmtId="165" fontId="17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20" fillId="0" borderId="2" xfId="0" applyFont="1" applyBorder="1" applyAlignment="1">
      <alignment wrapText="1"/>
    </xf>
    <xf numFmtId="170" fontId="20" fillId="0" borderId="2" xfId="0" applyNumberFormat="1" applyFont="1" applyBorder="1" applyAlignment="1">
      <alignment horizontal="right" wrapText="1"/>
    </xf>
    <xf numFmtId="170" fontId="16" fillId="0" borderId="2" xfId="0" applyNumberFormat="1" applyFont="1" applyBorder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center" wrapText="1"/>
    </xf>
    <xf numFmtId="0" fontId="20" fillId="0" borderId="27" xfId="0" applyFont="1" applyBorder="1" applyAlignment="1">
      <alignment horizontal="right" wrapText="1"/>
    </xf>
    <xf numFmtId="4" fontId="17" fillId="0" borderId="28" xfId="0" applyNumberFormat="1" applyFont="1" applyBorder="1"/>
    <xf numFmtId="43" fontId="16" fillId="4" borderId="11" xfId="2" applyFont="1" applyFill="1" applyBorder="1" applyAlignment="1">
      <alignment wrapText="1"/>
    </xf>
    <xf numFmtId="43" fontId="0" fillId="4" borderId="11" xfId="2" applyFont="1" applyFill="1" applyBorder="1" applyAlignment="1">
      <alignment horizontal="right" wrapText="1"/>
    </xf>
    <xf numFmtId="43" fontId="0" fillId="4" borderId="3" xfId="2" applyFont="1" applyFill="1" applyBorder="1" applyAlignment="1">
      <alignment wrapText="1"/>
    </xf>
    <xf numFmtId="0" fontId="17" fillId="4" borderId="11" xfId="0" applyFont="1" applyFill="1" applyBorder="1" applyAlignment="1">
      <alignment horizontal="right"/>
    </xf>
    <xf numFmtId="0" fontId="17" fillId="4" borderId="16" xfId="0" applyFont="1" applyFill="1" applyBorder="1" applyAlignment="1">
      <alignment horizontal="right"/>
    </xf>
    <xf numFmtId="171" fontId="0" fillId="4" borderId="11" xfId="2" applyNumberFormat="1" applyFont="1" applyFill="1" applyBorder="1" applyAlignment="1">
      <alignment horizontal="right" wrapText="1"/>
    </xf>
  </cellXfs>
  <cellStyles count="8">
    <cellStyle name="Comma" xfId="2" builtinId="3"/>
    <cellStyle name="Comma 2" xfId="6" xr:uid="{00000000-0005-0000-0000-000001000000}"/>
    <cellStyle name="Comma 3" xfId="4" xr:uid="{00000000-0005-0000-0000-000002000000}"/>
    <cellStyle name="Comma 3 2" xfId="7" xr:uid="{00000000-0005-0000-0000-000003000000}"/>
    <cellStyle name="Normal" xfId="0" builtinId="0"/>
    <cellStyle name="Normal 2 2" xfId="5" xr:uid="{00000000-0005-0000-0000-000005000000}"/>
    <cellStyle name="Percent" xfId="1" builtinId="5"/>
    <cellStyle name="Style 1" xfId="3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3"/>
  <sheetViews>
    <sheetView tabSelected="1" topLeftCell="A70" zoomScale="80" zoomScaleNormal="80" zoomScaleSheetLayoutView="76" workbookViewId="0">
      <selection activeCell="Y74" sqref="Y74"/>
    </sheetView>
  </sheetViews>
  <sheetFormatPr defaultColWidth="9.109375" defaultRowHeight="14.4"/>
  <cols>
    <col min="1" max="1" width="52.44140625" style="144" customWidth="1"/>
    <col min="2" max="2" width="11.88671875" style="144" hidden="1" customWidth="1"/>
    <col min="3" max="3" width="15.109375" style="144" hidden="1" customWidth="1"/>
    <col min="4" max="4" width="1" style="144" hidden="1" customWidth="1"/>
    <col min="5" max="7" width="14.5546875" style="144" hidden="1" customWidth="1"/>
    <col min="8" max="8" width="14.5546875" style="144" bestFit="1" customWidth="1"/>
    <col min="9" max="9" width="15.33203125" style="144" bestFit="1" customWidth="1"/>
    <col min="10" max="10" width="14.88671875" style="144" bestFit="1" customWidth="1"/>
    <col min="11" max="11" width="16.33203125" style="144" bestFit="1" customWidth="1"/>
    <col min="12" max="12" width="16.33203125" style="144" customWidth="1"/>
    <col min="13" max="13" width="3.6640625" style="144" customWidth="1"/>
    <col min="14" max="14" width="39.88671875" style="144" customWidth="1"/>
    <col min="15" max="15" width="12.44140625" style="144" hidden="1" customWidth="1"/>
    <col min="16" max="16" width="11.88671875" style="144" hidden="1" customWidth="1"/>
    <col min="17" max="17" width="12.88671875" style="145" hidden="1" customWidth="1"/>
    <col min="18" max="20" width="12.44140625" style="170" hidden="1" customWidth="1"/>
    <col min="21" max="21" width="12.44140625" style="170" customWidth="1"/>
    <col min="22" max="22" width="14.88671875" style="144" customWidth="1"/>
    <col min="23" max="23" width="12.33203125" style="144" bestFit="1" customWidth="1"/>
    <col min="24" max="24" width="13.88671875" style="144" bestFit="1" customWidth="1"/>
    <col min="25" max="16384" width="9.109375" style="85"/>
  </cols>
  <sheetData>
    <row r="1" spans="1:27" ht="15" thickBot="1">
      <c r="A1" s="243" t="s">
        <v>148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</row>
    <row r="2" spans="1:27" ht="15" thickBot="1">
      <c r="A2" s="257" t="s">
        <v>76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9"/>
      <c r="M2" s="211"/>
      <c r="N2" s="240" t="s">
        <v>75</v>
      </c>
      <c r="O2" s="241"/>
      <c r="P2" s="241"/>
      <c r="Q2" s="241"/>
      <c r="R2" s="241"/>
      <c r="S2" s="241"/>
      <c r="T2" s="241"/>
      <c r="U2" s="241"/>
      <c r="V2" s="241"/>
      <c r="W2" s="241"/>
      <c r="X2" s="242"/>
    </row>
    <row r="3" spans="1:27" ht="57.6">
      <c r="A3" s="253" t="s">
        <v>0</v>
      </c>
      <c r="B3" s="254" t="s">
        <v>28</v>
      </c>
      <c r="C3" s="254" t="s">
        <v>29</v>
      </c>
      <c r="D3" s="254" t="s">
        <v>77</v>
      </c>
      <c r="E3" s="255" t="s">
        <v>133</v>
      </c>
      <c r="F3" s="255" t="s">
        <v>151</v>
      </c>
      <c r="G3" s="255" t="s">
        <v>152</v>
      </c>
      <c r="H3" s="255" t="s">
        <v>155</v>
      </c>
      <c r="I3" s="255" t="s">
        <v>160</v>
      </c>
      <c r="J3" s="256" t="s">
        <v>163</v>
      </c>
      <c r="K3" s="255" t="s">
        <v>166</v>
      </c>
      <c r="L3" s="255" t="s">
        <v>168</v>
      </c>
      <c r="M3" s="212"/>
      <c r="N3" s="88" t="s">
        <v>0</v>
      </c>
      <c r="O3" s="89" t="s">
        <v>28</v>
      </c>
      <c r="P3" s="89" t="s">
        <v>29</v>
      </c>
      <c r="Q3" s="90" t="s">
        <v>77</v>
      </c>
      <c r="R3" s="90" t="s">
        <v>133</v>
      </c>
      <c r="S3" s="90" t="s">
        <v>151</v>
      </c>
      <c r="T3" s="90" t="s">
        <v>152</v>
      </c>
      <c r="U3" s="90" t="s">
        <v>156</v>
      </c>
      <c r="V3" s="90" t="s">
        <v>160</v>
      </c>
      <c r="W3" s="228" t="s">
        <v>163</v>
      </c>
      <c r="X3" s="209" t="s">
        <v>166</v>
      </c>
    </row>
    <row r="4" spans="1:27">
      <c r="A4" s="88" t="s">
        <v>78</v>
      </c>
      <c r="B4" s="91">
        <v>4144</v>
      </c>
      <c r="C4" s="91">
        <v>7032.4</v>
      </c>
      <c r="D4" s="92">
        <v>9303.9</v>
      </c>
      <c r="E4" s="93">
        <v>8832.64</v>
      </c>
      <c r="F4" s="93">
        <f>(7668.12+506.18)</f>
        <v>8174.3</v>
      </c>
      <c r="G4" s="93">
        <f>(7333.76+465.64)</f>
        <v>7799.4000000000005</v>
      </c>
      <c r="H4" s="94">
        <f>8841.96+387.73</f>
        <v>9229.6899999999987</v>
      </c>
      <c r="I4" s="94">
        <f>10482.46+425.74</f>
        <v>10908.199999999999</v>
      </c>
      <c r="J4" s="94">
        <f>7383.52+19.07</f>
        <v>7402.59</v>
      </c>
      <c r="K4" s="94">
        <f>9503.18+24.31</f>
        <v>9527.49</v>
      </c>
      <c r="L4" s="94">
        <f>2034.66+6.83</f>
        <v>2041.49</v>
      </c>
      <c r="M4" s="213"/>
      <c r="N4" s="95" t="s">
        <v>79</v>
      </c>
      <c r="O4" s="96">
        <v>126.61</v>
      </c>
      <c r="P4" s="97">
        <v>127.53</v>
      </c>
      <c r="Q4" s="98">
        <v>128.81118000000001</v>
      </c>
      <c r="R4" s="98">
        <v>128.84841</v>
      </c>
      <c r="S4" s="98">
        <v>128.85</v>
      </c>
      <c r="T4" s="98">
        <v>128.85</v>
      </c>
      <c r="U4" s="99">
        <v>128.85</v>
      </c>
      <c r="V4" s="113">
        <v>128.88</v>
      </c>
      <c r="W4" s="229">
        <v>147.07</v>
      </c>
      <c r="X4" s="233">
        <v>147.41</v>
      </c>
    </row>
    <row r="5" spans="1:27">
      <c r="A5" s="100" t="s">
        <v>1</v>
      </c>
      <c r="B5" s="101"/>
      <c r="C5" s="102">
        <f t="shared" ref="C5" si="0">(C4/B4-1)</f>
        <v>0.69700772200772199</v>
      </c>
      <c r="D5" s="102">
        <f t="shared" ref="D5" si="1">(D4/C4-1)</f>
        <v>0.32300494852397477</v>
      </c>
      <c r="E5" s="102">
        <f t="shared" ref="E5" si="2">(E4/D4-1)</f>
        <v>-5.0651877169789028E-2</v>
      </c>
      <c r="F5" s="102">
        <f t="shared" ref="F5" si="3">(F4/E4-1)</f>
        <v>-7.4534906890804886E-2</v>
      </c>
      <c r="G5" s="102">
        <f t="shared" ref="G5" si="4">(G4/F4-1)</f>
        <v>-4.5863254345937854E-2</v>
      </c>
      <c r="H5" s="102">
        <f t="shared" ref="H5" si="5">(H4/G4-1)</f>
        <v>0.18338461932969174</v>
      </c>
      <c r="I5" s="102">
        <f>(I4/H4-1)</f>
        <v>0.18185984578030245</v>
      </c>
      <c r="J5" s="102">
        <f>(J4/I4-1)</f>
        <v>-0.32137382886269039</v>
      </c>
      <c r="K5" s="102">
        <f>(K4/J4-1)</f>
        <v>0.28704818178502389</v>
      </c>
      <c r="L5" s="102" t="s">
        <v>118</v>
      </c>
      <c r="M5" s="214"/>
      <c r="N5" s="95" t="s">
        <v>128</v>
      </c>
      <c r="O5" s="103"/>
      <c r="P5" s="97"/>
      <c r="Q5" s="98"/>
      <c r="R5" s="98"/>
      <c r="S5" s="98"/>
      <c r="T5" s="98"/>
      <c r="U5" s="99"/>
      <c r="V5" s="113">
        <v>0</v>
      </c>
      <c r="W5" s="229">
        <v>0</v>
      </c>
      <c r="X5" s="233"/>
    </row>
    <row r="6" spans="1:27">
      <c r="A6" s="100" t="s">
        <v>81</v>
      </c>
      <c r="B6" s="104"/>
      <c r="C6" s="105"/>
      <c r="D6" s="102" t="e">
        <f t="shared" ref="D6:H6" si="6">(D4/A4)^(1/3)-1</f>
        <v>#VALUE!</v>
      </c>
      <c r="E6" s="102">
        <f t="shared" si="6"/>
        <v>0.28693593468240497</v>
      </c>
      <c r="F6" s="102">
        <f t="shared" si="6"/>
        <v>5.1434772619378233E-2</v>
      </c>
      <c r="G6" s="102">
        <f t="shared" si="6"/>
        <v>-5.7100540564995361E-2</v>
      </c>
      <c r="H6" s="102">
        <f t="shared" si="6"/>
        <v>1.4765113437275712E-2</v>
      </c>
      <c r="I6" s="102">
        <f>(I4/F4)^(1/3)-1</f>
        <v>0.1009497737292282</v>
      </c>
      <c r="J6" s="102">
        <f>(J4/G4)^(1/3)-1</f>
        <v>-1.7255020085461981E-2</v>
      </c>
      <c r="K6" s="102">
        <f>(K4/H4)^(1/3)-1</f>
        <v>1.0641503070254243E-2</v>
      </c>
      <c r="L6" s="102" t="s">
        <v>118</v>
      </c>
      <c r="M6" s="214"/>
      <c r="N6" s="95" t="s">
        <v>80</v>
      </c>
      <c r="O6" s="96">
        <v>1748.07</v>
      </c>
      <c r="P6" s="97">
        <v>1972.07</v>
      </c>
      <c r="Q6" s="98">
        <v>2061.42</v>
      </c>
      <c r="R6" s="98">
        <v>1922.54</v>
      </c>
      <c r="S6" s="98">
        <v>2101.9899999999998</v>
      </c>
      <c r="T6" s="98">
        <v>1910.83</v>
      </c>
      <c r="U6" s="99">
        <v>1978.32</v>
      </c>
      <c r="V6" s="113">
        <v>1903.84</v>
      </c>
      <c r="W6" s="229">
        <v>3905.16</v>
      </c>
      <c r="X6" s="233">
        <v>3284.69</v>
      </c>
    </row>
    <row r="7" spans="1:27">
      <c r="A7" s="106" t="s">
        <v>2</v>
      </c>
      <c r="B7" s="104">
        <f t="shared" ref="B7:I7" si="7">SUM(B8:B13)</f>
        <v>3562.9799999999996</v>
      </c>
      <c r="C7" s="107">
        <f t="shared" si="7"/>
        <v>6357.7900000000009</v>
      </c>
      <c r="D7" s="107">
        <f t="shared" si="7"/>
        <v>8265.57</v>
      </c>
      <c r="E7" s="104">
        <f t="shared" si="7"/>
        <v>7852.46</v>
      </c>
      <c r="F7" s="104">
        <f t="shared" si="7"/>
        <v>7278.99</v>
      </c>
      <c r="G7" s="104">
        <f t="shared" si="7"/>
        <v>7056.97</v>
      </c>
      <c r="H7" s="108">
        <f t="shared" si="7"/>
        <v>8467.5999999999985</v>
      </c>
      <c r="I7" s="108">
        <f t="shared" si="7"/>
        <v>10049.719999999999</v>
      </c>
      <c r="J7" s="108">
        <f>SUM(J8:J13)</f>
        <v>6413.4700000000012</v>
      </c>
      <c r="K7" s="108">
        <f>SUM(K8:K13)</f>
        <v>8173.06</v>
      </c>
      <c r="L7" s="108">
        <f>SUM(L8:L13)</f>
        <v>1805.91</v>
      </c>
      <c r="M7" s="213"/>
      <c r="N7" s="109" t="s">
        <v>30</v>
      </c>
      <c r="O7" s="107">
        <f>(O4+O6)</f>
        <v>1874.6799999999998</v>
      </c>
      <c r="P7" s="110">
        <f>(P4+P6)</f>
        <v>2099.6</v>
      </c>
      <c r="Q7" s="104">
        <f t="shared" ref="Q7:S7" si="8">(Q4+Q6+Q5)</f>
        <v>2190.2311800000002</v>
      </c>
      <c r="R7" s="104">
        <f t="shared" si="8"/>
        <v>2051.38841</v>
      </c>
      <c r="S7" s="104">
        <f t="shared" si="8"/>
        <v>2230.8399999999997</v>
      </c>
      <c r="T7" s="104">
        <f>(T4+T6+T5)</f>
        <v>2039.6799999999998</v>
      </c>
      <c r="U7" s="104">
        <f t="shared" ref="U7" si="9">(U4+U6+U5)</f>
        <v>2107.17</v>
      </c>
      <c r="V7" s="104">
        <f>(V4+V6+V5)</f>
        <v>2032.7199999999998</v>
      </c>
      <c r="W7" s="227">
        <f>(W4+W6+W5)</f>
        <v>4052.23</v>
      </c>
      <c r="X7" s="234">
        <f>(X4+X6+X5)</f>
        <v>3432.1</v>
      </c>
    </row>
    <row r="8" spans="1:27">
      <c r="A8" s="111" t="s">
        <v>82</v>
      </c>
      <c r="B8" s="103">
        <v>2566.12</v>
      </c>
      <c r="C8" s="112">
        <v>3030.31</v>
      </c>
      <c r="D8" s="112">
        <v>3825.57</v>
      </c>
      <c r="E8" s="98">
        <v>3620.58</v>
      </c>
      <c r="F8" s="98">
        <v>3275.18</v>
      </c>
      <c r="G8" s="99">
        <v>3065.02</v>
      </c>
      <c r="H8" s="113">
        <v>4146.6000000000004</v>
      </c>
      <c r="I8" s="113">
        <v>5446.42</v>
      </c>
      <c r="J8" s="113">
        <v>4884.42</v>
      </c>
      <c r="K8" s="113">
        <v>6497.89</v>
      </c>
      <c r="L8" s="113">
        <v>1810.07</v>
      </c>
      <c r="M8" s="215"/>
      <c r="N8" s="95" t="s">
        <v>31</v>
      </c>
      <c r="O8" s="96">
        <v>0</v>
      </c>
      <c r="P8" s="97">
        <v>216.22</v>
      </c>
      <c r="Q8" s="98">
        <v>247.23</v>
      </c>
      <c r="R8" s="98">
        <v>248.25</v>
      </c>
      <c r="S8" s="98">
        <v>170.41</v>
      </c>
      <c r="T8" s="98">
        <v>-54.48</v>
      </c>
      <c r="U8" s="99">
        <v>-66.599999999999994</v>
      </c>
      <c r="V8" s="113">
        <v>-65.62</v>
      </c>
      <c r="W8" s="229">
        <v>-109.58</v>
      </c>
      <c r="X8" s="233">
        <v>-181.35</v>
      </c>
    </row>
    <row r="9" spans="1:27" ht="16.5" customHeight="1">
      <c r="A9" s="111" t="s">
        <v>109</v>
      </c>
      <c r="B9" s="103"/>
      <c r="C9" s="112"/>
      <c r="D9" s="112"/>
      <c r="E9" s="98"/>
      <c r="F9" s="98"/>
      <c r="G9" s="99"/>
      <c r="H9" s="113"/>
      <c r="I9" s="113"/>
      <c r="J9" s="113"/>
      <c r="K9" s="113"/>
      <c r="L9" s="113"/>
      <c r="M9" s="215"/>
      <c r="N9" s="95" t="s">
        <v>32</v>
      </c>
      <c r="O9" s="96">
        <v>0</v>
      </c>
      <c r="P9" s="97">
        <v>578.20000000000005</v>
      </c>
      <c r="Q9" s="98">
        <v>861.96</v>
      </c>
      <c r="R9" s="98">
        <v>696.45739783500392</v>
      </c>
      <c r="S9" s="98">
        <v>1088.6199999999999</v>
      </c>
      <c r="T9" s="98">
        <v>815.74</v>
      </c>
      <c r="U9" s="99">
        <v>579.62</v>
      </c>
      <c r="V9" s="113">
        <v>446.71</v>
      </c>
      <c r="W9" s="229">
        <v>213.22</v>
      </c>
      <c r="X9" s="233">
        <v>22.35</v>
      </c>
    </row>
    <row r="10" spans="1:27">
      <c r="A10" s="111" t="s">
        <v>121</v>
      </c>
      <c r="B10" s="103">
        <v>11.5</v>
      </c>
      <c r="C10" s="112">
        <v>81.069999999999993</v>
      </c>
      <c r="D10" s="112">
        <v>12.06</v>
      </c>
      <c r="E10" s="98">
        <v>-65.42</v>
      </c>
      <c r="F10" s="98">
        <v>179.02</v>
      </c>
      <c r="G10" s="99">
        <v>-45.44</v>
      </c>
      <c r="H10" s="113">
        <v>5.29</v>
      </c>
      <c r="I10" s="113">
        <v>-191.51</v>
      </c>
      <c r="J10" s="113">
        <v>-294.44</v>
      </c>
      <c r="K10" s="113">
        <v>-281.07</v>
      </c>
      <c r="L10" s="113">
        <v>-497.15</v>
      </c>
      <c r="M10" s="215"/>
      <c r="N10" s="95" t="s">
        <v>33</v>
      </c>
      <c r="O10" s="96">
        <v>818.33</v>
      </c>
      <c r="P10" s="97">
        <v>1898.38</v>
      </c>
      <c r="Q10" s="98">
        <v>2284.5234603416998</v>
      </c>
      <c r="R10" s="98">
        <v>2024.706744782296</v>
      </c>
      <c r="S10" s="98">
        <v>2095.17</v>
      </c>
      <c r="T10" s="98">
        <v>1910.25</v>
      </c>
      <c r="U10" s="99">
        <v>2047.99</v>
      </c>
      <c r="V10" s="113">
        <v>1446.03</v>
      </c>
      <c r="W10" s="229">
        <v>1234.6099999999999</v>
      </c>
      <c r="X10" s="233">
        <v>1197.57</v>
      </c>
    </row>
    <row r="11" spans="1:27">
      <c r="A11" s="111" t="s">
        <v>162</v>
      </c>
      <c r="B11" s="114"/>
      <c r="C11" s="114"/>
      <c r="D11" s="115"/>
      <c r="E11" s="99"/>
      <c r="F11" s="99"/>
      <c r="G11" s="99"/>
      <c r="H11" s="113">
        <v>106.61</v>
      </c>
      <c r="I11" s="113"/>
      <c r="J11" s="113"/>
      <c r="M11" s="215"/>
      <c r="N11" s="109" t="s">
        <v>34</v>
      </c>
      <c r="O11" s="104">
        <f t="shared" ref="O11:P11" si="10">(O9+O10)</f>
        <v>818.33</v>
      </c>
      <c r="P11" s="110">
        <f t="shared" si="10"/>
        <v>2476.58</v>
      </c>
      <c r="Q11" s="104">
        <f t="shared" ref="Q11:S11" si="11">(Q9+Q10)</f>
        <v>3146.4834603416998</v>
      </c>
      <c r="R11" s="104">
        <f t="shared" si="11"/>
        <v>2721.1641426173001</v>
      </c>
      <c r="S11" s="104">
        <f t="shared" si="11"/>
        <v>3183.79</v>
      </c>
      <c r="T11" s="104">
        <f>(T9+T10)</f>
        <v>2725.99</v>
      </c>
      <c r="U11" s="104">
        <f>(U9+U10)</f>
        <v>2627.61</v>
      </c>
      <c r="V11" s="104">
        <f>(V9+V10)</f>
        <v>1892.74</v>
      </c>
      <c r="W11" s="227">
        <f>(W9+W10)</f>
        <v>1447.83</v>
      </c>
      <c r="X11" s="234">
        <f>(X9+X10)</f>
        <v>1219.9199999999998</v>
      </c>
    </row>
    <row r="12" spans="1:27">
      <c r="A12" s="111" t="s">
        <v>58</v>
      </c>
      <c r="B12" s="103">
        <v>538.83000000000004</v>
      </c>
      <c r="C12" s="112">
        <v>2275.89</v>
      </c>
      <c r="D12" s="112">
        <v>3284.83</v>
      </c>
      <c r="E12" s="98">
        <v>3256.63</v>
      </c>
      <c r="F12" s="98">
        <v>3018.39</v>
      </c>
      <c r="G12" s="99">
        <v>3199.02</v>
      </c>
      <c r="H12" s="113">
        <v>3327.22</v>
      </c>
      <c r="I12" s="113">
        <v>3671.16</v>
      </c>
      <c r="J12" s="113">
        <v>1249.01</v>
      </c>
      <c r="K12" s="113">
        <v>1317.44</v>
      </c>
      <c r="L12" s="113">
        <v>319.57</v>
      </c>
      <c r="M12" s="215"/>
      <c r="N12" s="109" t="s">
        <v>35</v>
      </c>
      <c r="O12" s="108">
        <f t="shared" ref="O12:W12" si="12">O7+O8+O11</f>
        <v>2693.0099999999998</v>
      </c>
      <c r="P12" s="129">
        <f t="shared" si="12"/>
        <v>4792.3999999999996</v>
      </c>
      <c r="Q12" s="108">
        <f t="shared" si="12"/>
        <v>5583.9446403417005</v>
      </c>
      <c r="R12" s="108">
        <f t="shared" si="12"/>
        <v>5020.8025526173005</v>
      </c>
      <c r="S12" s="108">
        <f t="shared" si="12"/>
        <v>5585.0399999999991</v>
      </c>
      <c r="T12" s="108">
        <f t="shared" si="12"/>
        <v>4711.1899999999996</v>
      </c>
      <c r="U12" s="108">
        <f t="shared" si="12"/>
        <v>4668.18</v>
      </c>
      <c r="V12" s="108">
        <f t="shared" si="12"/>
        <v>3859.84</v>
      </c>
      <c r="W12" s="230">
        <f t="shared" si="12"/>
        <v>5390.48</v>
      </c>
      <c r="X12" s="235">
        <f>X7+X8+X11</f>
        <v>4470.67</v>
      </c>
    </row>
    <row r="13" spans="1:27">
      <c r="A13" s="111" t="s">
        <v>60</v>
      </c>
      <c r="B13" s="103">
        <v>446.53</v>
      </c>
      <c r="C13" s="112">
        <v>970.52</v>
      </c>
      <c r="D13" s="112">
        <v>1143.1099999999999</v>
      </c>
      <c r="E13" s="98">
        <v>1040.67</v>
      </c>
      <c r="F13" s="98">
        <v>806.4</v>
      </c>
      <c r="G13" s="99">
        <v>838.37</v>
      </c>
      <c r="H13" s="113">
        <v>881.88</v>
      </c>
      <c r="I13" s="113">
        <v>1123.6500000000001</v>
      </c>
      <c r="J13" s="113">
        <v>574.48</v>
      </c>
      <c r="K13" s="113">
        <v>638.79999999999995</v>
      </c>
      <c r="L13" s="113">
        <v>173.42</v>
      </c>
      <c r="M13" s="215"/>
      <c r="N13" s="208"/>
      <c r="O13" s="206"/>
      <c r="P13" s="207"/>
      <c r="Q13" s="94"/>
      <c r="R13" s="94"/>
      <c r="S13" s="94"/>
      <c r="T13" s="94"/>
      <c r="U13" s="94"/>
      <c r="V13" s="121"/>
      <c r="W13" s="226"/>
      <c r="X13" s="233"/>
    </row>
    <row r="14" spans="1:27">
      <c r="A14" s="106" t="s">
        <v>3</v>
      </c>
      <c r="B14" s="104">
        <f t="shared" ref="B14:I14" si="13">(B4-B7)</f>
        <v>581.02000000000044</v>
      </c>
      <c r="C14" s="107">
        <f t="shared" si="13"/>
        <v>674.60999999999876</v>
      </c>
      <c r="D14" s="107">
        <f t="shared" si="13"/>
        <v>1038.33</v>
      </c>
      <c r="E14" s="104">
        <f t="shared" si="13"/>
        <v>980.17999999999938</v>
      </c>
      <c r="F14" s="104">
        <f t="shared" si="13"/>
        <v>895.3100000000004</v>
      </c>
      <c r="G14" s="104">
        <f t="shared" si="13"/>
        <v>742.43000000000029</v>
      </c>
      <c r="H14" s="108">
        <f t="shared" si="13"/>
        <v>762.09000000000015</v>
      </c>
      <c r="I14" s="108">
        <f t="shared" si="13"/>
        <v>858.47999999999956</v>
      </c>
      <c r="J14" s="108">
        <f>(J4-J7)</f>
        <v>989.11999999999898</v>
      </c>
      <c r="K14" s="108">
        <f>(K4-K7)</f>
        <v>1354.4299999999994</v>
      </c>
      <c r="L14" s="108">
        <f>(L4-L7)</f>
        <v>235.57999999999993</v>
      </c>
      <c r="M14" s="213"/>
      <c r="N14" s="106" t="s">
        <v>157</v>
      </c>
      <c r="O14" s="128">
        <f t="shared" ref="O14:P14" si="14">SUM(O15:O24)</f>
        <v>945.32999999999993</v>
      </c>
      <c r="P14" s="129">
        <f t="shared" si="14"/>
        <v>3066.3700000000003</v>
      </c>
      <c r="Q14" s="108">
        <f t="shared" ref="Q14:T14" si="15">SUM(Q15:Q24)</f>
        <v>2306.7957922486003</v>
      </c>
      <c r="R14" s="108">
        <f t="shared" si="15"/>
        <v>3079.9458095164996</v>
      </c>
      <c r="S14" s="108">
        <f t="shared" si="15"/>
        <v>3205.6400000000003</v>
      </c>
      <c r="T14" s="108">
        <f t="shared" si="15"/>
        <v>2586.4</v>
      </c>
      <c r="U14" s="108">
        <f>SUM(U15:U30)</f>
        <v>3359.9699999999993</v>
      </c>
      <c r="V14" s="108">
        <f>SUM(V15:V30)</f>
        <v>3037.7799999999997</v>
      </c>
      <c r="W14" s="230">
        <f>SUM(W15:W30)</f>
        <v>3025.57</v>
      </c>
      <c r="X14" s="235">
        <f>SUM(X15:X30)</f>
        <v>1800.77</v>
      </c>
    </row>
    <row r="15" spans="1:27">
      <c r="A15" s="100" t="s">
        <v>1</v>
      </c>
      <c r="B15" s="101"/>
      <c r="C15" s="102"/>
      <c r="D15" s="102">
        <f t="shared" ref="D15" si="16">(D14/C14-1)</f>
        <v>0.53915595677502837</v>
      </c>
      <c r="E15" s="102">
        <f t="shared" ref="E15" si="17">(E14/D14-1)</f>
        <v>-5.600339005903765E-2</v>
      </c>
      <c r="F15" s="102">
        <f t="shared" ref="F15" si="18">(F14/E14-1)</f>
        <v>-8.6586137240097782E-2</v>
      </c>
      <c r="G15" s="102">
        <f t="shared" ref="G15" si="19">(G14/F14-1)</f>
        <v>-0.17075649774938295</v>
      </c>
      <c r="H15" s="102">
        <f t="shared" ref="H15" si="20">(H14/G14-1)</f>
        <v>2.6480610966690188E-2</v>
      </c>
      <c r="I15" s="102">
        <f>(I14/H14-1)</f>
        <v>0.12648112427665947</v>
      </c>
      <c r="J15" s="102">
        <f>(J14/I14-1)</f>
        <v>0.15217593886869762</v>
      </c>
      <c r="K15" s="102">
        <f>(K14/J14-1)</f>
        <v>0.36932829181494742</v>
      </c>
      <c r="L15" s="102" t="s">
        <v>118</v>
      </c>
      <c r="M15" s="214"/>
      <c r="N15" s="111" t="s">
        <v>130</v>
      </c>
      <c r="O15" s="96">
        <v>334.8</v>
      </c>
      <c r="P15" s="97">
        <v>1234.32</v>
      </c>
      <c r="Q15" s="98">
        <v>1130.3161141427001</v>
      </c>
      <c r="R15" s="98">
        <v>1253.2814925700325</v>
      </c>
      <c r="S15" s="98">
        <v>1184.19</v>
      </c>
      <c r="T15" s="98">
        <v>1119.54</v>
      </c>
      <c r="U15" s="99">
        <v>1071.27</v>
      </c>
      <c r="V15" s="98">
        <v>1126.04</v>
      </c>
      <c r="W15" s="231">
        <v>1095.93</v>
      </c>
      <c r="X15" s="233">
        <v>1337.25</v>
      </c>
    </row>
    <row r="16" spans="1:27">
      <c r="A16" s="100" t="s">
        <v>81</v>
      </c>
      <c r="B16" s="101"/>
      <c r="C16" s="102"/>
      <c r="D16" s="102" t="e">
        <f t="shared" ref="D16:H16" si="21">(D14/A14)^(1/3)-1</f>
        <v>#VALUE!</v>
      </c>
      <c r="E16" s="102">
        <f t="shared" si="21"/>
        <v>0.19043289252009998</v>
      </c>
      <c r="F16" s="102">
        <f t="shared" si="21"/>
        <v>9.8938917312854535E-2</v>
      </c>
      <c r="G16" s="102">
        <f t="shared" si="21"/>
        <v>-0.10578894064197042</v>
      </c>
      <c r="H16" s="102">
        <f t="shared" si="21"/>
        <v>-8.0468081917250966E-2</v>
      </c>
      <c r="I16" s="102">
        <f>(I14/F14)^(1/3)-1</f>
        <v>-1.3904639414623055E-2</v>
      </c>
      <c r="J16" s="102">
        <f>(J14/G14)^(1/3)-1</f>
        <v>0.10035078336336589</v>
      </c>
      <c r="K16" s="102">
        <f>(K14/H14)^(1/3)-1</f>
        <v>0.21129549095742228</v>
      </c>
      <c r="L16" s="102" t="s">
        <v>118</v>
      </c>
      <c r="M16" s="214"/>
      <c r="N16" s="111" t="s">
        <v>127</v>
      </c>
      <c r="O16" s="103"/>
      <c r="P16" s="97"/>
      <c r="Q16" s="98">
        <v>0</v>
      </c>
      <c r="R16" s="98">
        <v>456.69735311779999</v>
      </c>
      <c r="S16" s="98">
        <v>555.94000000000005</v>
      </c>
      <c r="T16" s="98">
        <v>481.07</v>
      </c>
      <c r="U16" s="99">
        <v>464.74</v>
      </c>
      <c r="V16" s="98">
        <v>529.77</v>
      </c>
      <c r="W16" s="231">
        <v>427.86</v>
      </c>
      <c r="X16" s="233">
        <v>21.35</v>
      </c>
      <c r="Z16" s="87"/>
      <c r="AA16" s="86"/>
    </row>
    <row r="17" spans="1:24">
      <c r="A17" s="106" t="s">
        <v>4</v>
      </c>
      <c r="B17" s="116">
        <f t="shared" ref="B17:I17" si="22">(B14/B4)</f>
        <v>0.14020752895752905</v>
      </c>
      <c r="C17" s="117">
        <f t="shared" si="22"/>
        <v>9.5928843638018138E-2</v>
      </c>
      <c r="D17" s="117">
        <f t="shared" si="22"/>
        <v>0.11160158643149647</v>
      </c>
      <c r="E17" s="117">
        <f t="shared" si="22"/>
        <v>0.1109724838779798</v>
      </c>
      <c r="F17" s="117">
        <f t="shared" si="22"/>
        <v>0.10952742130824662</v>
      </c>
      <c r="G17" s="117">
        <f t="shared" si="22"/>
        <v>9.5190655691463483E-2</v>
      </c>
      <c r="H17" s="118">
        <f t="shared" si="22"/>
        <v>8.25694037394539E-2</v>
      </c>
      <c r="I17" s="118">
        <f t="shared" si="22"/>
        <v>7.8700427201554762E-2</v>
      </c>
      <c r="J17" s="118">
        <f>(J14/J4)</f>
        <v>0.13361809853037909</v>
      </c>
      <c r="K17" s="118">
        <f>(K14/K4)</f>
        <v>0.14216021218600067</v>
      </c>
      <c r="L17" s="118">
        <f>(L14/L4)</f>
        <v>0.1153961077448334</v>
      </c>
      <c r="M17" s="216"/>
      <c r="N17" s="111" t="s">
        <v>102</v>
      </c>
      <c r="O17" s="96">
        <v>0</v>
      </c>
      <c r="P17" s="97">
        <v>376.23</v>
      </c>
      <c r="Q17" s="98">
        <v>376.22725399999985</v>
      </c>
      <c r="R17" s="98">
        <v>376.22725399999985</v>
      </c>
      <c r="S17" s="98">
        <v>376.23</v>
      </c>
      <c r="T17" s="98">
        <v>376.23</v>
      </c>
      <c r="U17" s="99">
        <v>376.23</v>
      </c>
      <c r="V17" s="98">
        <v>412.58</v>
      </c>
      <c r="W17" s="231">
        <v>412.58</v>
      </c>
      <c r="X17" s="233">
        <v>36.35</v>
      </c>
    </row>
    <row r="18" spans="1:24">
      <c r="A18" s="111" t="s">
        <v>86</v>
      </c>
      <c r="B18" s="103">
        <v>166.49</v>
      </c>
      <c r="C18" s="112">
        <v>232.47</v>
      </c>
      <c r="D18" s="112">
        <v>278.39</v>
      </c>
      <c r="E18" s="98">
        <v>413.86</v>
      </c>
      <c r="F18" s="98">
        <v>453.01</v>
      </c>
      <c r="G18" s="99">
        <v>431.93</v>
      </c>
      <c r="H18" s="113">
        <v>438.26</v>
      </c>
      <c r="I18" s="113">
        <v>452.74</v>
      </c>
      <c r="J18" s="113">
        <v>195.11</v>
      </c>
      <c r="K18" s="113">
        <v>195.05</v>
      </c>
      <c r="L18" s="113">
        <v>54.97</v>
      </c>
      <c r="M18" s="215"/>
      <c r="N18" s="111" t="s">
        <v>84</v>
      </c>
      <c r="O18" s="96">
        <v>208.51</v>
      </c>
      <c r="P18" s="97">
        <v>1.87</v>
      </c>
      <c r="Q18" s="98">
        <v>81.337981470000017</v>
      </c>
      <c r="R18" s="98">
        <v>13.505531939999999</v>
      </c>
      <c r="S18" s="98">
        <v>20.86</v>
      </c>
      <c r="T18" s="98">
        <v>0.09</v>
      </c>
      <c r="U18" s="99">
        <v>54.09</v>
      </c>
      <c r="V18" s="98">
        <v>2.87</v>
      </c>
      <c r="W18" s="231">
        <v>76.37</v>
      </c>
      <c r="X18" s="233">
        <v>0</v>
      </c>
    </row>
    <row r="19" spans="1:24">
      <c r="A19" s="111" t="s">
        <v>87</v>
      </c>
      <c r="B19" s="103">
        <v>40.35</v>
      </c>
      <c r="C19" s="112">
        <v>184.05</v>
      </c>
      <c r="D19" s="112">
        <v>349.21</v>
      </c>
      <c r="E19" s="98">
        <v>368.16</v>
      </c>
      <c r="F19" s="98">
        <v>295.20999999999998</v>
      </c>
      <c r="G19" s="99">
        <v>263.48</v>
      </c>
      <c r="H19" s="113">
        <v>273.39999999999998</v>
      </c>
      <c r="I19" s="113">
        <v>346.31</v>
      </c>
      <c r="J19" s="113">
        <v>195</v>
      </c>
      <c r="K19" s="113">
        <v>169.12</v>
      </c>
      <c r="L19" s="113">
        <v>44.18</v>
      </c>
      <c r="M19" s="215"/>
      <c r="N19" s="111" t="s">
        <v>117</v>
      </c>
      <c r="O19" s="119"/>
      <c r="P19" s="120"/>
      <c r="Q19" s="121"/>
      <c r="R19" s="121"/>
      <c r="S19" s="121"/>
      <c r="T19" s="121"/>
      <c r="U19" s="113"/>
      <c r="V19" s="121"/>
      <c r="W19" s="229"/>
      <c r="X19" s="233"/>
    </row>
    <row r="20" spans="1:24">
      <c r="A20" s="95" t="s">
        <v>135</v>
      </c>
      <c r="B20" s="103"/>
      <c r="C20" s="112">
        <v>6.95</v>
      </c>
      <c r="D20" s="112"/>
      <c r="E20" s="98">
        <v>-105.27</v>
      </c>
      <c r="F20" s="98">
        <v>0</v>
      </c>
      <c r="G20" s="99">
        <v>-603.54</v>
      </c>
      <c r="H20" s="113"/>
      <c r="I20" s="113">
        <v>-48.79</v>
      </c>
      <c r="J20" s="113">
        <v>0</v>
      </c>
      <c r="K20" s="113">
        <v>0</v>
      </c>
      <c r="L20" s="113">
        <v>0</v>
      </c>
      <c r="M20" s="215"/>
      <c r="N20" s="111" t="s">
        <v>123</v>
      </c>
      <c r="O20" s="96">
        <v>64.849999999999994</v>
      </c>
      <c r="P20" s="97">
        <v>893.71</v>
      </c>
      <c r="Q20" s="98">
        <v>541.21703257079992</v>
      </c>
      <c r="R20" s="98">
        <v>478.61027654526771</v>
      </c>
      <c r="S20" s="98">
        <v>409.21</v>
      </c>
      <c r="T20" s="98">
        <v>416.42</v>
      </c>
      <c r="U20" s="99">
        <v>286.2</v>
      </c>
      <c r="V20" s="98">
        <v>314.67</v>
      </c>
      <c r="W20" s="231">
        <v>237.57</v>
      </c>
      <c r="X20" s="233">
        <v>3.64</v>
      </c>
    </row>
    <row r="21" spans="1:24">
      <c r="A21" s="95" t="s">
        <v>136</v>
      </c>
      <c r="B21" s="103"/>
      <c r="C21" s="112">
        <v>6.67</v>
      </c>
      <c r="D21" s="112">
        <v>-13.08</v>
      </c>
      <c r="E21" s="98">
        <v>-4.6399999999999997</v>
      </c>
      <c r="F21" s="98">
        <v>-10.71</v>
      </c>
      <c r="G21" s="99">
        <v>-45.74</v>
      </c>
      <c r="H21" s="113">
        <v>12.4</v>
      </c>
      <c r="I21" s="113">
        <v>0</v>
      </c>
      <c r="J21" s="113">
        <v>0</v>
      </c>
      <c r="K21" s="113">
        <v>0</v>
      </c>
      <c r="L21" s="113">
        <v>0</v>
      </c>
      <c r="M21" s="215"/>
      <c r="N21" s="111" t="s">
        <v>124</v>
      </c>
      <c r="O21" s="96">
        <v>0</v>
      </c>
      <c r="P21" s="97">
        <v>111.1</v>
      </c>
      <c r="Q21" s="98">
        <v>57.227410065100003</v>
      </c>
      <c r="R21" s="98">
        <v>100.63603807219999</v>
      </c>
      <c r="S21" s="98">
        <v>171.27</v>
      </c>
      <c r="T21" s="98">
        <v>120.14</v>
      </c>
      <c r="U21" s="99">
        <v>227.56</v>
      </c>
      <c r="V21" s="98">
        <v>100.99</v>
      </c>
      <c r="W21" s="231">
        <v>74.09</v>
      </c>
      <c r="X21" s="233">
        <v>0</v>
      </c>
    </row>
    <row r="22" spans="1:24">
      <c r="A22" s="111" t="s">
        <v>5</v>
      </c>
      <c r="B22" s="103">
        <v>84.11</v>
      </c>
      <c r="C22" s="112">
        <v>304.44</v>
      </c>
      <c r="D22" s="112">
        <f>29.48+41.18</f>
        <v>70.66</v>
      </c>
      <c r="E22" s="98">
        <f>117.93+35.64</f>
        <v>153.57</v>
      </c>
      <c r="F22" s="98">
        <v>57.91</v>
      </c>
      <c r="G22" s="99">
        <f>3.49+43.56+33.19</f>
        <v>80.240000000000009</v>
      </c>
      <c r="H22" s="113">
        <f>37.25+21.28</f>
        <v>58.53</v>
      </c>
      <c r="I22" s="113">
        <v>68.14</v>
      </c>
      <c r="J22" s="113">
        <f>41.2+24.74</f>
        <v>65.94</v>
      </c>
      <c r="K22" s="113">
        <f>58.69+99.47</f>
        <v>158.16</v>
      </c>
      <c r="L22" s="113">
        <f>7.54+15.55</f>
        <v>23.09</v>
      </c>
      <c r="M22" s="215"/>
      <c r="N22" s="111" t="s">
        <v>85</v>
      </c>
      <c r="O22" s="119"/>
      <c r="P22" s="97"/>
      <c r="Q22" s="121"/>
      <c r="R22" s="121"/>
      <c r="S22" s="121"/>
      <c r="T22" s="121"/>
      <c r="U22" s="113"/>
      <c r="V22" s="121"/>
      <c r="W22" s="229"/>
      <c r="X22" s="233"/>
    </row>
    <row r="23" spans="1:24">
      <c r="A23" s="106" t="s">
        <v>6</v>
      </c>
      <c r="B23" s="104">
        <f t="shared" ref="B23:C23" si="23">(B14-B18-B19+B20+B22+B21)</f>
        <v>458.29000000000042</v>
      </c>
      <c r="C23" s="107">
        <f t="shared" si="23"/>
        <v>576.14999999999861</v>
      </c>
      <c r="D23" s="107">
        <f t="shared" ref="D23:F23" si="24">(D14-D18-D19+D20+D22+D21)</f>
        <v>468.31</v>
      </c>
      <c r="E23" s="104">
        <f t="shared" si="24"/>
        <v>241.81999999999937</v>
      </c>
      <c r="F23" s="104">
        <f t="shared" si="24"/>
        <v>194.29000000000042</v>
      </c>
      <c r="G23" s="104">
        <f>(G14-G18-G19+G20+G22+G21)</f>
        <v>-522.01999999999975</v>
      </c>
      <c r="H23" s="108">
        <f>(H14-H18-H19+H20+H22+H21)</f>
        <v>121.36000000000018</v>
      </c>
      <c r="I23" s="108">
        <f>(I14-I18-I19+I20+I22+I21)</f>
        <v>78.779999999999546</v>
      </c>
      <c r="J23" s="108">
        <f>(J14-J18-J19+J20+J22+J21)</f>
        <v>664.94999999999891</v>
      </c>
      <c r="K23" s="108">
        <f>(K14-K18-K19+K20+K22+K21)</f>
        <v>1148.4199999999994</v>
      </c>
      <c r="L23" s="108">
        <f>(L14-L18-L19+L20+L22+L21)</f>
        <v>159.51999999999992</v>
      </c>
      <c r="M23" s="213"/>
      <c r="N23" s="111" t="s">
        <v>138</v>
      </c>
      <c r="O23" s="96">
        <v>323.91000000000003</v>
      </c>
      <c r="P23" s="97">
        <v>368.57</v>
      </c>
      <c r="Q23" s="98">
        <v>99.92</v>
      </c>
      <c r="R23" s="98">
        <v>386.72</v>
      </c>
      <c r="S23" s="98">
        <v>464.83</v>
      </c>
      <c r="T23" s="98">
        <v>59.13</v>
      </c>
      <c r="U23" s="99">
        <v>82.47</v>
      </c>
      <c r="V23" s="98">
        <v>84.17</v>
      </c>
      <c r="W23" s="231">
        <v>0</v>
      </c>
      <c r="X23" s="233"/>
    </row>
    <row r="24" spans="1:24">
      <c r="A24" s="111" t="s">
        <v>7</v>
      </c>
      <c r="B24" s="103">
        <f>117.03-4.03-12.24</f>
        <v>100.76</v>
      </c>
      <c r="C24" s="112">
        <v>86.44</v>
      </c>
      <c r="D24" s="112">
        <f>72.31-4.37-44.65-25.91</f>
        <v>-2.620000000000001</v>
      </c>
      <c r="E24" s="98">
        <v>73.790000000000006</v>
      </c>
      <c r="F24" s="98">
        <v>73.900000000000006</v>
      </c>
      <c r="G24" s="99">
        <f>46.44-33.81</f>
        <v>12.629999999999995</v>
      </c>
      <c r="H24" s="113">
        <f>126.51-10.32-61.77</f>
        <v>54.419999999999995</v>
      </c>
      <c r="I24" s="113">
        <v>106.33</v>
      </c>
      <c r="J24" s="113">
        <v>160.72999999999999</v>
      </c>
      <c r="K24" s="113">
        <v>141.31</v>
      </c>
      <c r="L24" s="113">
        <v>47.21</v>
      </c>
      <c r="M24" s="215"/>
      <c r="N24" s="111" t="s">
        <v>137</v>
      </c>
      <c r="O24" s="96">
        <v>13.26</v>
      </c>
      <c r="P24" s="97">
        <v>80.569999999999993</v>
      </c>
      <c r="Q24" s="98">
        <v>20.55</v>
      </c>
      <c r="R24" s="98">
        <v>14.267863271200001</v>
      </c>
      <c r="S24" s="98">
        <v>23.11</v>
      </c>
      <c r="T24" s="98">
        <v>13.78</v>
      </c>
      <c r="U24" s="99">
        <v>13.81</v>
      </c>
      <c r="V24" s="98">
        <v>0.55000000000000004</v>
      </c>
      <c r="W24" s="231">
        <v>0.56999999999999995</v>
      </c>
      <c r="X24" s="233">
        <v>0</v>
      </c>
    </row>
    <row r="25" spans="1:24">
      <c r="A25" s="122" t="s">
        <v>8</v>
      </c>
      <c r="B25" s="123">
        <f t="shared" ref="B25:C25" si="25">(B24/B23)</f>
        <v>0.21986078683802812</v>
      </c>
      <c r="C25" s="124">
        <f t="shared" si="25"/>
        <v>0.15003037403453998</v>
      </c>
      <c r="D25" s="124">
        <f t="shared" ref="D25:E25" si="26">(D24/D23)</f>
        <v>-5.5945847835835259E-3</v>
      </c>
      <c r="E25" s="124">
        <f t="shared" si="26"/>
        <v>0.30514432222314203</v>
      </c>
      <c r="F25" s="124">
        <f t="shared" ref="F25:J25" si="27">(F24/F23)</f>
        <v>0.38035925678109961</v>
      </c>
      <c r="G25" s="124">
        <f t="shared" si="27"/>
        <v>-2.4194475307459488E-2</v>
      </c>
      <c r="H25" s="124">
        <f t="shared" si="27"/>
        <v>0.4484179301252465</v>
      </c>
      <c r="I25" s="124">
        <f t="shared" si="27"/>
        <v>1.3497080477278574</v>
      </c>
      <c r="J25" s="124">
        <f t="shared" si="27"/>
        <v>0.24171742236258403</v>
      </c>
      <c r="K25" s="124">
        <f>(K24/K23)</f>
        <v>0.12304731718360885</v>
      </c>
      <c r="L25" s="124">
        <f>(L24/L23)</f>
        <v>0.29595035105315964</v>
      </c>
      <c r="M25" s="214"/>
      <c r="N25" s="111" t="s">
        <v>158</v>
      </c>
      <c r="O25" s="96"/>
      <c r="P25" s="97"/>
      <c r="Q25" s="98"/>
      <c r="R25" s="98"/>
      <c r="S25" s="98"/>
      <c r="T25" s="98">
        <v>269.12</v>
      </c>
      <c r="U25" s="99"/>
      <c r="V25" s="98"/>
      <c r="W25" s="231"/>
      <c r="X25" s="233"/>
    </row>
    <row r="26" spans="1:24">
      <c r="A26" s="111" t="s">
        <v>10</v>
      </c>
      <c r="B26" s="114"/>
      <c r="C26" s="114"/>
      <c r="D26" s="112"/>
      <c r="E26" s="112"/>
      <c r="F26" s="112"/>
      <c r="G26" s="112"/>
      <c r="H26" s="125"/>
      <c r="I26" s="125"/>
      <c r="J26" s="125"/>
      <c r="K26" s="125"/>
      <c r="L26" s="125"/>
      <c r="M26" s="217"/>
      <c r="N26" s="111" t="s">
        <v>139</v>
      </c>
      <c r="O26" s="96">
        <v>15.61</v>
      </c>
      <c r="P26" s="97">
        <v>42.88</v>
      </c>
      <c r="Q26" s="98">
        <v>50.089354115100001</v>
      </c>
      <c r="R26" s="98">
        <v>60.822419768299994</v>
      </c>
      <c r="S26" s="98">
        <v>45.55</v>
      </c>
      <c r="T26" s="98"/>
      <c r="U26" s="99"/>
      <c r="V26" s="98"/>
      <c r="W26" s="231"/>
      <c r="X26" s="233"/>
    </row>
    <row r="27" spans="1:24">
      <c r="A27" s="111" t="s">
        <v>92</v>
      </c>
      <c r="B27" s="114"/>
      <c r="C27" s="114"/>
      <c r="D27" s="112"/>
      <c r="E27" s="112"/>
      <c r="F27" s="112"/>
      <c r="G27" s="112"/>
      <c r="H27" s="125"/>
      <c r="I27" s="125"/>
      <c r="J27" s="125"/>
      <c r="K27" s="125"/>
      <c r="L27" s="125"/>
      <c r="M27" s="217"/>
      <c r="N27" s="111" t="s">
        <v>125</v>
      </c>
      <c r="O27" s="96"/>
      <c r="P27" s="97"/>
      <c r="Q27" s="98">
        <v>478.65928339549993</v>
      </c>
      <c r="R27" s="98">
        <v>526.74221563317155</v>
      </c>
      <c r="S27" s="98">
        <v>289.49</v>
      </c>
      <c r="T27" s="98">
        <v>378.36</v>
      </c>
      <c r="U27" s="99">
        <v>362.62</v>
      </c>
      <c r="V27" s="98">
        <v>275.64</v>
      </c>
      <c r="W27" s="231">
        <v>343.02</v>
      </c>
      <c r="X27" s="233">
        <v>148.27000000000001</v>
      </c>
    </row>
    <row r="28" spans="1:24">
      <c r="A28" s="111" t="s">
        <v>122</v>
      </c>
      <c r="B28" s="114"/>
      <c r="C28" s="114"/>
      <c r="D28" s="112"/>
      <c r="E28" s="112"/>
      <c r="F28" s="112"/>
      <c r="G28" s="112"/>
      <c r="H28" s="126"/>
      <c r="I28" s="126"/>
      <c r="J28" s="126"/>
      <c r="K28" s="126"/>
      <c r="L28" s="126"/>
      <c r="M28" s="217"/>
      <c r="N28" s="111" t="s">
        <v>126</v>
      </c>
      <c r="O28" s="96">
        <v>50.63</v>
      </c>
      <c r="P28" s="97">
        <v>0</v>
      </c>
      <c r="Q28" s="98">
        <v>51.009762831000003</v>
      </c>
      <c r="R28" s="98">
        <v>30.369777403000001</v>
      </c>
      <c r="S28" s="98">
        <v>22.1</v>
      </c>
      <c r="T28" s="98">
        <v>31.58</v>
      </c>
      <c r="U28" s="99">
        <v>69.680000000000007</v>
      </c>
      <c r="V28" s="98">
        <v>102.48</v>
      </c>
      <c r="W28" s="231">
        <v>189.2</v>
      </c>
      <c r="X28" s="233">
        <v>194.25</v>
      </c>
    </row>
    <row r="29" spans="1:24">
      <c r="A29" s="106" t="s">
        <v>149</v>
      </c>
      <c r="B29" s="127">
        <v>258</v>
      </c>
      <c r="C29" s="127">
        <f>C23-C24-C26+C27+C28</f>
        <v>489.70999999999862</v>
      </c>
      <c r="D29" s="127">
        <f t="shared" ref="D29:F29" si="28">D23-D24+D26+D27+D28</f>
        <v>470.93</v>
      </c>
      <c r="E29" s="108">
        <f t="shared" si="28"/>
        <v>168.02999999999935</v>
      </c>
      <c r="F29" s="108">
        <f t="shared" si="28"/>
        <v>120.39000000000041</v>
      </c>
      <c r="G29" s="108">
        <f>G23-G24+G26+G27+G28</f>
        <v>-534.64999999999975</v>
      </c>
      <c r="H29" s="108">
        <f t="shared" ref="H29" si="29">H23-H24+H26+H27+H28</f>
        <v>66.940000000000197</v>
      </c>
      <c r="I29" s="108">
        <f>I23-I24+I26+I27+I28</f>
        <v>-27.550000000000452</v>
      </c>
      <c r="J29" s="108">
        <f>J23-J24+J26+J27+J28</f>
        <v>504.21999999999889</v>
      </c>
      <c r="K29" s="108">
        <f>K23-K24+K26+K27+K28</f>
        <v>1007.1099999999994</v>
      </c>
      <c r="L29" s="108">
        <f>L23-L24+L26+L27+L28</f>
        <v>112.30999999999992</v>
      </c>
      <c r="M29" s="213"/>
      <c r="N29" s="111" t="s">
        <v>105</v>
      </c>
      <c r="O29" s="96">
        <v>22.01</v>
      </c>
      <c r="P29" s="97">
        <v>129.03</v>
      </c>
      <c r="Q29" s="98">
        <v>33.991500000000002</v>
      </c>
      <c r="R29" s="98">
        <v>34.021107633000007</v>
      </c>
      <c r="S29" s="98">
        <v>33.54</v>
      </c>
      <c r="T29" s="98">
        <v>48.89</v>
      </c>
      <c r="U29" s="99">
        <v>9.59</v>
      </c>
      <c r="V29" s="98">
        <v>13.43</v>
      </c>
      <c r="W29" s="231">
        <v>36.65</v>
      </c>
      <c r="X29" s="233">
        <v>11.77</v>
      </c>
    </row>
    <row r="30" spans="1:24">
      <c r="A30" s="106" t="s">
        <v>153</v>
      </c>
      <c r="B30" s="127"/>
      <c r="C30" s="127"/>
      <c r="D30" s="127">
        <v>0</v>
      </c>
      <c r="E30" s="108">
        <v>-7</v>
      </c>
      <c r="F30" s="108">
        <v>0</v>
      </c>
      <c r="G30" s="108">
        <v>0</v>
      </c>
      <c r="H30" s="108">
        <v>0</v>
      </c>
      <c r="I30" s="108">
        <v>0</v>
      </c>
      <c r="J30" s="108">
        <v>-523.49</v>
      </c>
      <c r="K30" s="108">
        <v>-1525.17</v>
      </c>
      <c r="L30" s="108">
        <v>942.69</v>
      </c>
      <c r="M30" s="213"/>
      <c r="N30" s="111" t="s">
        <v>90</v>
      </c>
      <c r="O30" s="96">
        <v>152.41</v>
      </c>
      <c r="P30" s="97">
        <v>103.24</v>
      </c>
      <c r="Q30" s="98">
        <v>60.411903738050256</v>
      </c>
      <c r="R30" s="98">
        <v>27.074171853378726</v>
      </c>
      <c r="S30" s="98">
        <v>14.36</v>
      </c>
      <c r="T30" s="98">
        <v>41.84</v>
      </c>
      <c r="U30" s="99">
        <v>341.71</v>
      </c>
      <c r="V30" s="98">
        <v>74.59</v>
      </c>
      <c r="W30" s="231">
        <v>131.72999999999999</v>
      </c>
      <c r="X30" s="233">
        <v>47.89</v>
      </c>
    </row>
    <row r="31" spans="1:24">
      <c r="A31" s="106" t="s">
        <v>9</v>
      </c>
      <c r="B31" s="127"/>
      <c r="C31" s="127"/>
      <c r="D31" s="127">
        <f t="shared" ref="D31:H31" si="30">D29+D30</f>
        <v>470.93</v>
      </c>
      <c r="E31" s="108">
        <f t="shared" si="30"/>
        <v>161.02999999999935</v>
      </c>
      <c r="F31" s="108">
        <f t="shared" si="30"/>
        <v>120.39000000000041</v>
      </c>
      <c r="G31" s="108">
        <f t="shared" si="30"/>
        <v>-534.64999999999975</v>
      </c>
      <c r="H31" s="108">
        <f t="shared" si="30"/>
        <v>66.940000000000197</v>
      </c>
      <c r="I31" s="108">
        <f t="shared" ref="I31:L31" si="31">I29+I30</f>
        <v>-27.550000000000452</v>
      </c>
      <c r="J31" s="108">
        <f t="shared" si="31"/>
        <v>-19.270000000001119</v>
      </c>
      <c r="K31" s="108">
        <f>K29+K30</f>
        <v>-518.06000000000063</v>
      </c>
      <c r="L31" s="108">
        <f t="shared" si="31"/>
        <v>1055</v>
      </c>
      <c r="M31" s="213"/>
      <c r="N31" s="106" t="s">
        <v>36</v>
      </c>
      <c r="O31" s="128">
        <f t="shared" ref="O31:P31" si="32">SUM(O32:O41)</f>
        <v>2832.5499999999993</v>
      </c>
      <c r="P31" s="129">
        <f t="shared" si="32"/>
        <v>5312.35</v>
      </c>
      <c r="Q31" s="108">
        <f>SUM(Q32:Q42)</f>
        <v>7979.734507880099</v>
      </c>
      <c r="R31" s="108">
        <f t="shared" ref="R31:W31" si="33">SUM(R32:R42)</f>
        <v>7012.71028101502</v>
      </c>
      <c r="S31" s="108">
        <f t="shared" si="33"/>
        <v>6194.02</v>
      </c>
      <c r="T31" s="108">
        <f t="shared" si="33"/>
        <v>5873.4</v>
      </c>
      <c r="U31" s="108">
        <f t="shared" si="33"/>
        <v>7367.01</v>
      </c>
      <c r="V31" s="108">
        <f t="shared" si="33"/>
        <v>7600.2599999999993</v>
      </c>
      <c r="W31" s="108">
        <f t="shared" si="33"/>
        <v>9368.89</v>
      </c>
      <c r="X31" s="128">
        <f>SUM(X32:X42)</f>
        <v>11226.35</v>
      </c>
    </row>
    <row r="32" spans="1:24">
      <c r="A32" s="106" t="s">
        <v>150</v>
      </c>
      <c r="B32" s="118">
        <f>B29/B4</f>
        <v>6.2258687258687259E-2</v>
      </c>
      <c r="C32" s="118">
        <f>C29/C4</f>
        <v>6.9636255048063062E-2</v>
      </c>
      <c r="D32" s="118">
        <f>D29/D4</f>
        <v>5.0616408172916738E-2</v>
      </c>
      <c r="E32" s="118">
        <f>E31/E4</f>
        <v>1.8231242301282442E-2</v>
      </c>
      <c r="F32" s="118">
        <f>F29/F4</f>
        <v>1.4727866606314964E-2</v>
      </c>
      <c r="G32" s="118">
        <f>G29/G4</f>
        <v>-6.8550144882939673E-2</v>
      </c>
      <c r="H32" s="118">
        <f>H31/H4</f>
        <v>7.2526812926544887E-3</v>
      </c>
      <c r="I32" s="118">
        <f>I29/I4</f>
        <v>-2.5256229258723215E-3</v>
      </c>
      <c r="J32" s="118">
        <f>J29/J4</f>
        <v>6.8113997938559184E-2</v>
      </c>
      <c r="K32" s="118">
        <f>K29/K4</f>
        <v>0.10570570003222249</v>
      </c>
      <c r="L32" s="118">
        <f>L29/L4</f>
        <v>5.5013739964437695E-2</v>
      </c>
      <c r="M32" s="216"/>
      <c r="N32" s="111" t="s">
        <v>37</v>
      </c>
      <c r="O32" s="96">
        <v>1328.6</v>
      </c>
      <c r="P32" s="97">
        <v>1838.98</v>
      </c>
      <c r="Q32" s="98">
        <v>2369.0269365046997</v>
      </c>
      <c r="R32" s="98">
        <v>2357.9217688724079</v>
      </c>
      <c r="S32" s="98">
        <v>1941.88</v>
      </c>
      <c r="T32" s="98">
        <v>2248.25</v>
      </c>
      <c r="U32" s="99">
        <v>2610.62</v>
      </c>
      <c r="V32" s="98">
        <v>3173.77</v>
      </c>
      <c r="W32" s="231">
        <v>3474.08</v>
      </c>
      <c r="X32" s="233">
        <v>4562.1000000000004</v>
      </c>
    </row>
    <row r="33" spans="1:24" ht="28.8">
      <c r="A33" s="100" t="s">
        <v>1</v>
      </c>
      <c r="B33" s="101"/>
      <c r="C33" s="102"/>
      <c r="D33" s="102" t="s">
        <v>118</v>
      </c>
      <c r="E33" s="102">
        <f t="shared" ref="E33:I33" si="34">(E29/D29-1)</f>
        <v>-0.64319537935574433</v>
      </c>
      <c r="F33" s="102">
        <f t="shared" si="34"/>
        <v>-0.28352079985716316</v>
      </c>
      <c r="G33" s="102">
        <f t="shared" si="34"/>
        <v>-5.4409834703878888</v>
      </c>
      <c r="H33" s="102">
        <f t="shared" si="34"/>
        <v>-1.1252034040961381</v>
      </c>
      <c r="I33" s="102">
        <f t="shared" si="34"/>
        <v>-1.4115625933672</v>
      </c>
      <c r="J33" s="102">
        <f>(J29/I29-1)</f>
        <v>-19.301996370235596</v>
      </c>
      <c r="K33" s="102">
        <f>(K29/J29-1)</f>
        <v>0.99736226250446558</v>
      </c>
      <c r="L33" s="102" t="s">
        <v>118</v>
      </c>
      <c r="M33" s="214"/>
      <c r="N33" s="111" t="s">
        <v>85</v>
      </c>
      <c r="O33" s="119"/>
      <c r="P33" s="120"/>
      <c r="Q33" s="121"/>
      <c r="R33" s="121"/>
      <c r="S33" s="121"/>
      <c r="T33" s="121"/>
      <c r="U33" s="121"/>
      <c r="V33" s="121"/>
      <c r="W33" s="226"/>
      <c r="X33" s="233"/>
    </row>
    <row r="34" spans="1:24">
      <c r="A34" s="100" t="s">
        <v>81</v>
      </c>
      <c r="B34" s="101"/>
      <c r="C34" s="102"/>
      <c r="D34" s="102" t="e">
        <f t="shared" ref="D34:I34" si="35">(D29/A29)^(1/3)-1</f>
        <v>#VALUE!</v>
      </c>
      <c r="E34" s="102">
        <f t="shared" si="35"/>
        <v>-0.13319307194964158</v>
      </c>
      <c r="F34" s="102">
        <f t="shared" si="35"/>
        <v>-0.37355374978208222</v>
      </c>
      <c r="G34" s="102">
        <f t="shared" si="35"/>
        <v>-2.0432083900107956</v>
      </c>
      <c r="H34" s="102">
        <f t="shared" si="35"/>
        <v>-0.26418897031758615</v>
      </c>
      <c r="I34" s="102">
        <f t="shared" si="35"/>
        <v>-1.6116604448528551</v>
      </c>
      <c r="J34" s="102">
        <f>(J29/G29)^(1/3)-1</f>
        <v>-1.9806563216783473</v>
      </c>
      <c r="K34" s="102">
        <f>(K29/H29)^(1/3)-1</f>
        <v>1.4686739450080197</v>
      </c>
      <c r="L34" s="102" t="s">
        <v>118</v>
      </c>
      <c r="M34" s="214"/>
      <c r="N34" s="111" t="s">
        <v>110</v>
      </c>
      <c r="O34" s="119"/>
      <c r="P34" s="120"/>
      <c r="Q34" s="121"/>
      <c r="R34" s="121"/>
      <c r="S34" s="121"/>
      <c r="T34" s="121"/>
      <c r="U34" s="121"/>
      <c r="V34" s="121"/>
      <c r="W34" s="226"/>
      <c r="X34" s="233"/>
    </row>
    <row r="35" spans="1:24">
      <c r="A35" s="122"/>
      <c r="B35" s="130"/>
      <c r="C35" s="131"/>
      <c r="D35" s="132"/>
      <c r="E35" s="132"/>
      <c r="F35" s="132"/>
      <c r="G35" s="132"/>
      <c r="H35" s="125"/>
      <c r="I35" s="125"/>
      <c r="J35" s="125"/>
      <c r="K35" s="125"/>
      <c r="L35" s="125"/>
      <c r="M35" s="217"/>
      <c r="N35" s="111" t="s">
        <v>111</v>
      </c>
      <c r="O35" s="96">
        <v>857.64</v>
      </c>
      <c r="P35" s="97">
        <v>1876.92</v>
      </c>
      <c r="Q35" s="98">
        <v>2742.84</v>
      </c>
      <c r="R35" s="98">
        <v>2489.090765830807</v>
      </c>
      <c r="S35" s="98">
        <v>2161.21</v>
      </c>
      <c r="T35" s="98">
        <v>2499.02</v>
      </c>
      <c r="U35" s="99">
        <v>3309.97</v>
      </c>
      <c r="V35" s="98">
        <v>2279.77</v>
      </c>
      <c r="W35" s="231">
        <v>3065.37</v>
      </c>
      <c r="X35" s="233">
        <v>2996.7</v>
      </c>
    </row>
    <row r="36" spans="1:24">
      <c r="A36" s="122"/>
      <c r="B36" s="130"/>
      <c r="C36" s="131"/>
      <c r="D36" s="132"/>
      <c r="E36" s="132"/>
      <c r="F36" s="132"/>
      <c r="G36" s="132"/>
      <c r="H36" s="125"/>
      <c r="I36" s="125"/>
      <c r="J36" s="125"/>
      <c r="K36" s="125"/>
      <c r="L36" s="125"/>
      <c r="M36" s="217"/>
      <c r="N36" s="111" t="s">
        <v>91</v>
      </c>
      <c r="O36" s="96">
        <v>392.02</v>
      </c>
      <c r="P36" s="97">
        <v>136.59</v>
      </c>
      <c r="Q36" s="98">
        <v>173.01856379889995</v>
      </c>
      <c r="R36" s="98">
        <v>136.01970368325269</v>
      </c>
      <c r="S36" s="98">
        <v>411.48</v>
      </c>
      <c r="T36" s="98">
        <v>480.44</v>
      </c>
      <c r="U36" s="99">
        <v>352.71</v>
      </c>
      <c r="V36" s="98">
        <v>481.21</v>
      </c>
      <c r="W36" s="231">
        <v>677.64</v>
      </c>
      <c r="X36" s="233">
        <v>379.12</v>
      </c>
    </row>
    <row r="37" spans="1:24">
      <c r="A37" s="88" t="s">
        <v>165</v>
      </c>
      <c r="B37" s="89">
        <v>20.440000000000001</v>
      </c>
      <c r="C37" s="91">
        <v>26.8</v>
      </c>
      <c r="D37" s="92">
        <v>30.51</v>
      </c>
      <c r="E37" s="133">
        <v>15.45</v>
      </c>
      <c r="F37" s="133">
        <v>13.3</v>
      </c>
      <c r="G37" s="133">
        <v>-23.7</v>
      </c>
      <c r="H37" s="134">
        <v>7.55</v>
      </c>
      <c r="I37" s="134">
        <v>1.36</v>
      </c>
      <c r="J37" s="134">
        <v>1.88</v>
      </c>
      <c r="K37" s="134">
        <v>-31.62</v>
      </c>
      <c r="L37" s="134">
        <v>71.47</v>
      </c>
      <c r="M37" s="218"/>
      <c r="N37" s="111" t="s">
        <v>119</v>
      </c>
      <c r="O37" s="96">
        <v>115.58</v>
      </c>
      <c r="P37" s="97">
        <v>153.31</v>
      </c>
      <c r="Q37" s="98">
        <v>118.54766021</v>
      </c>
      <c r="R37" s="98">
        <v>97.060994170528431</v>
      </c>
      <c r="S37" s="98">
        <v>187.08</v>
      </c>
      <c r="T37" s="98">
        <v>93.66</v>
      </c>
      <c r="U37" s="99">
        <v>69.25</v>
      </c>
      <c r="V37" s="98">
        <v>234.58</v>
      </c>
      <c r="W37" s="231">
        <v>618.77</v>
      </c>
      <c r="X37" s="233">
        <v>822</v>
      </c>
    </row>
    <row r="38" spans="1:24">
      <c r="A38" s="135" t="s">
        <v>1</v>
      </c>
      <c r="B38" s="136"/>
      <c r="C38" s="137"/>
      <c r="D38" s="138"/>
      <c r="E38" s="139">
        <f>(E37/D37-1)</f>
        <v>-0.49360865290068834</v>
      </c>
      <c r="F38" s="139">
        <f>(F37/E37-1)</f>
        <v>-0.13915857605177984</v>
      </c>
      <c r="G38" s="139">
        <f>(G37/F37-1)</f>
        <v>-2.7819548872180451</v>
      </c>
      <c r="H38" s="139">
        <f>-(H37/G37-1)</f>
        <v>1.3185654008438819</v>
      </c>
      <c r="I38" s="139">
        <f>(I37/H37-1)</f>
        <v>-0.8198675496688741</v>
      </c>
      <c r="J38" s="139">
        <f>(J37/I37-1)</f>
        <v>0.38235294117647034</v>
      </c>
      <c r="K38" s="139">
        <f>(K37/J37-1)</f>
        <v>-17.819148936170215</v>
      </c>
      <c r="L38" s="102" t="s">
        <v>118</v>
      </c>
      <c r="M38" s="219"/>
      <c r="N38" s="111" t="s">
        <v>120</v>
      </c>
      <c r="O38" s="96">
        <v>3.66</v>
      </c>
      <c r="P38" s="97">
        <v>221.37</v>
      </c>
      <c r="Q38" s="98">
        <v>0.47922799999999999</v>
      </c>
      <c r="R38" s="98">
        <v>0.32117000000000001</v>
      </c>
      <c r="S38" s="98">
        <v>0.34</v>
      </c>
      <c r="T38" s="98"/>
      <c r="U38" s="99"/>
      <c r="V38" s="98"/>
      <c r="W38" s="231"/>
      <c r="X38" s="233"/>
    </row>
    <row r="39" spans="1:24">
      <c r="A39" s="100" t="s">
        <v>81</v>
      </c>
      <c r="B39" s="136"/>
      <c r="C39" s="137"/>
      <c r="D39" s="138"/>
      <c r="E39" s="102">
        <f>(E37/B37)^(1/3)-1</f>
        <v>-8.9075189872834137E-2</v>
      </c>
      <c r="F39" s="102">
        <f t="shared" ref="F39:H39" si="36">(F37/C37)^(1/3)-1</f>
        <v>-0.20827878528954058</v>
      </c>
      <c r="G39" s="102">
        <f t="shared" si="36"/>
        <v>-1.9192536849174626</v>
      </c>
      <c r="H39" s="102">
        <f t="shared" si="36"/>
        <v>-0.21233873373938639</v>
      </c>
      <c r="I39" s="102">
        <f>(I37/F37)^(1/3)-1</f>
        <v>-0.53237711623811368</v>
      </c>
      <c r="J39" s="102">
        <f>(J37/G37)^(1/3)-1</f>
        <v>-1.4296714535858834</v>
      </c>
      <c r="K39" s="102">
        <f>(K37/H37)^(1/3)-1</f>
        <v>-2.6119007770746898</v>
      </c>
      <c r="L39" s="102" t="s">
        <v>118</v>
      </c>
      <c r="M39" s="214"/>
      <c r="N39" s="111" t="s">
        <v>140</v>
      </c>
      <c r="O39" s="96">
        <v>0.16</v>
      </c>
      <c r="P39" s="97">
        <v>0.92</v>
      </c>
      <c r="Q39" s="98">
        <v>978.86</v>
      </c>
      <c r="R39" s="98">
        <v>1609.3416667520401</v>
      </c>
      <c r="S39" s="98">
        <v>1105.5999999999999</v>
      </c>
      <c r="T39" s="98">
        <v>226.21</v>
      </c>
      <c r="U39" s="99">
        <v>121.2</v>
      </c>
      <c r="V39" s="98">
        <v>440.82</v>
      </c>
      <c r="W39" s="231">
        <v>463.21</v>
      </c>
      <c r="X39" s="233">
        <v>37.29</v>
      </c>
    </row>
    <row r="40" spans="1:24" ht="15" thickBot="1">
      <c r="A40" s="140"/>
      <c r="B40" s="141"/>
      <c r="C40" s="142"/>
      <c r="D40" s="142"/>
      <c r="E40" s="142"/>
      <c r="F40" s="142"/>
      <c r="G40" s="142"/>
      <c r="H40" s="141"/>
      <c r="I40" s="141"/>
      <c r="J40" s="141"/>
      <c r="K40" s="141"/>
      <c r="L40" s="141"/>
      <c r="N40" s="111" t="s">
        <v>141</v>
      </c>
      <c r="O40" s="96">
        <v>0</v>
      </c>
      <c r="P40" s="97">
        <v>0</v>
      </c>
      <c r="Q40" s="98">
        <v>1261.8021193664999</v>
      </c>
      <c r="R40" s="98">
        <v>0</v>
      </c>
      <c r="S40" s="98">
        <v>0</v>
      </c>
      <c r="T40" s="98"/>
      <c r="U40" s="99"/>
      <c r="V40" s="98"/>
      <c r="W40" s="231"/>
      <c r="X40" s="233"/>
    </row>
    <row r="41" spans="1:24">
      <c r="A41" s="143"/>
      <c r="C41" s="145"/>
      <c r="D41" s="145"/>
      <c r="E41" s="145"/>
      <c r="F41" s="145"/>
      <c r="N41" s="111" t="s">
        <v>59</v>
      </c>
      <c r="O41" s="96">
        <v>134.88999999999999</v>
      </c>
      <c r="P41" s="97">
        <v>1084.26</v>
      </c>
      <c r="Q41" s="98">
        <v>335.16</v>
      </c>
      <c r="R41" s="98">
        <v>322.95421170598382</v>
      </c>
      <c r="S41" s="98">
        <v>386.43</v>
      </c>
      <c r="T41" s="98">
        <v>325.82</v>
      </c>
      <c r="U41" s="99">
        <v>903.26</v>
      </c>
      <c r="V41" s="98">
        <v>990.11</v>
      </c>
      <c r="W41" s="231">
        <v>1069.82</v>
      </c>
      <c r="X41" s="233">
        <v>344.71</v>
      </c>
    </row>
    <row r="42" spans="1:24">
      <c r="A42" s="143"/>
      <c r="C42" s="145"/>
      <c r="D42" s="145"/>
      <c r="E42" s="145"/>
      <c r="F42" s="145"/>
      <c r="G42" s="145"/>
      <c r="N42" s="111" t="s">
        <v>167</v>
      </c>
      <c r="O42" s="96"/>
      <c r="P42" s="97"/>
      <c r="Q42" s="98">
        <v>0</v>
      </c>
      <c r="R42" s="98">
        <v>0</v>
      </c>
      <c r="S42" s="98">
        <v>0</v>
      </c>
      <c r="T42" s="98">
        <v>0</v>
      </c>
      <c r="U42" s="99">
        <v>0</v>
      </c>
      <c r="V42" s="98">
        <v>0</v>
      </c>
      <c r="W42" s="231">
        <v>0</v>
      </c>
      <c r="X42" s="233">
        <v>2084.4299999999998</v>
      </c>
    </row>
    <row r="43" spans="1:24" ht="15" thickBot="1">
      <c r="A43" s="146" t="s">
        <v>12</v>
      </c>
      <c r="B43" s="203"/>
      <c r="C43" s="204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106" t="s">
        <v>38</v>
      </c>
      <c r="O43" s="108">
        <f t="shared" ref="O43:P43" si="37">SUM(O44:O53)</f>
        <v>1305.23</v>
      </c>
      <c r="P43" s="129">
        <f t="shared" si="37"/>
        <v>3257.11</v>
      </c>
      <c r="Q43" s="108">
        <f t="shared" ref="Q43:S43" si="38">SUM(Q44:Q53)</f>
        <v>5101.6904681928008</v>
      </c>
      <c r="R43" s="108">
        <f t="shared" si="38"/>
        <v>5166.2552848208406</v>
      </c>
      <c r="S43" s="108">
        <f t="shared" si="38"/>
        <v>3605.9599999999996</v>
      </c>
      <c r="T43" s="108">
        <f>SUM(T44:T53)</f>
        <v>3881.56</v>
      </c>
      <c r="U43" s="108">
        <f>SUM(U44:U53)</f>
        <v>5392.8</v>
      </c>
      <c r="V43" s="108">
        <f>SUM(V44:V53)</f>
        <v>5608.7699999999986</v>
      </c>
      <c r="W43" s="230">
        <f>SUM(W44:W53)</f>
        <v>6617.0599999999995</v>
      </c>
      <c r="X43" s="235">
        <f>SUM(X44:X53)</f>
        <v>8509.2800000000007</v>
      </c>
    </row>
    <row r="44" spans="1:24" ht="57.6">
      <c r="A44" s="147" t="s">
        <v>0</v>
      </c>
      <c r="B44" s="148"/>
      <c r="C44" s="149" t="s">
        <v>29</v>
      </c>
      <c r="D44" s="149" t="s">
        <v>77</v>
      </c>
      <c r="E44" s="150" t="s">
        <v>133</v>
      </c>
      <c r="F44" s="150" t="s">
        <v>151</v>
      </c>
      <c r="G44" s="150" t="s">
        <v>152</v>
      </c>
      <c r="H44" s="151" t="s">
        <v>155</v>
      </c>
      <c r="I44" s="151" t="s">
        <v>160</v>
      </c>
      <c r="J44" s="151" t="s">
        <v>163</v>
      </c>
      <c r="K44" s="151" t="s">
        <v>166</v>
      </c>
      <c r="L44"/>
      <c r="M44" s="212"/>
      <c r="N44" s="111" t="s">
        <v>95</v>
      </c>
      <c r="O44" s="119"/>
      <c r="P44" s="120"/>
      <c r="Q44" s="121"/>
      <c r="R44" s="121"/>
      <c r="S44" s="121"/>
      <c r="T44" s="121"/>
      <c r="U44" s="121"/>
      <c r="V44" s="121"/>
      <c r="W44" s="226"/>
      <c r="X44" s="233"/>
    </row>
    <row r="45" spans="1:24">
      <c r="A45" s="88" t="s">
        <v>13</v>
      </c>
      <c r="B45" s="93"/>
      <c r="C45" s="92">
        <v>392.02</v>
      </c>
      <c r="D45" s="92">
        <v>217.3</v>
      </c>
      <c r="E45" s="93">
        <f>D51</f>
        <v>173.27</v>
      </c>
      <c r="F45" s="93">
        <v>136.02000000000001</v>
      </c>
      <c r="G45" s="93">
        <f>F51</f>
        <v>411.48</v>
      </c>
      <c r="H45" s="93">
        <f>G51</f>
        <v>480.45</v>
      </c>
      <c r="I45" s="93">
        <f>H51</f>
        <v>352.72</v>
      </c>
      <c r="J45" s="93">
        <f>I51</f>
        <v>461.11</v>
      </c>
      <c r="K45" s="93">
        <f>J51</f>
        <v>654.56000000000006</v>
      </c>
      <c r="L45"/>
      <c r="M45" s="220"/>
      <c r="N45" s="111" t="s">
        <v>96</v>
      </c>
      <c r="O45" s="96">
        <v>592.32000000000005</v>
      </c>
      <c r="P45" s="97">
        <v>1228.1500000000001</v>
      </c>
      <c r="Q45" s="98">
        <v>1446.54</v>
      </c>
      <c r="R45" s="98">
        <v>1780.06</v>
      </c>
      <c r="S45" s="98">
        <v>1086.0899999999999</v>
      </c>
      <c r="T45" s="98">
        <v>1140.83</v>
      </c>
      <c r="U45" s="99">
        <v>2109.71</v>
      </c>
      <c r="V45" s="98">
        <v>2221.89</v>
      </c>
      <c r="W45" s="231">
        <v>2200.14</v>
      </c>
      <c r="X45" s="233">
        <v>2529.75</v>
      </c>
    </row>
    <row r="46" spans="1:24">
      <c r="A46" s="88" t="s">
        <v>14</v>
      </c>
      <c r="B46" s="103"/>
      <c r="C46" s="112">
        <v>-527.02</v>
      </c>
      <c r="D46" s="112">
        <v>505.01</v>
      </c>
      <c r="E46" s="98">
        <v>1092.6199999999999</v>
      </c>
      <c r="F46" s="98">
        <v>806.03</v>
      </c>
      <c r="G46" s="98">
        <v>1034.8699999999999</v>
      </c>
      <c r="H46" s="121">
        <v>700.99</v>
      </c>
      <c r="I46" s="121">
        <v>2018.06</v>
      </c>
      <c r="J46" s="121">
        <v>-293.51</v>
      </c>
      <c r="K46" s="121">
        <v>603.88</v>
      </c>
      <c r="L46"/>
      <c r="M46" s="215"/>
      <c r="N46" s="111" t="s">
        <v>97</v>
      </c>
      <c r="O46" s="96">
        <v>110.07</v>
      </c>
      <c r="P46" s="97">
        <v>510.54</v>
      </c>
      <c r="Q46" s="98">
        <v>1153.22</v>
      </c>
      <c r="R46" s="98">
        <v>1666.25</v>
      </c>
      <c r="S46" s="98">
        <v>733.2</v>
      </c>
      <c r="T46" s="98">
        <v>598.55999999999995</v>
      </c>
      <c r="U46" s="99">
        <v>517.04</v>
      </c>
      <c r="V46" s="98">
        <v>371.6</v>
      </c>
      <c r="W46" s="231">
        <v>436.03</v>
      </c>
      <c r="X46" s="233">
        <v>297.5</v>
      </c>
    </row>
    <row r="47" spans="1:24">
      <c r="A47" s="111" t="s">
        <v>68</v>
      </c>
      <c r="B47" s="103"/>
      <c r="C47" s="112">
        <v>-1137.01</v>
      </c>
      <c r="D47" s="112">
        <v>-217.27</v>
      </c>
      <c r="E47" s="98">
        <v>-115.62</v>
      </c>
      <c r="F47" s="98">
        <v>119.45</v>
      </c>
      <c r="G47" s="98">
        <v>-149.32</v>
      </c>
      <c r="H47" s="121">
        <v>-247.63</v>
      </c>
      <c r="I47" s="121">
        <v>-440.16</v>
      </c>
      <c r="J47" s="121">
        <v>-588.22</v>
      </c>
      <c r="K47" s="121">
        <v>-432.38</v>
      </c>
      <c r="L47"/>
      <c r="M47" s="215"/>
      <c r="N47" s="111" t="s">
        <v>129</v>
      </c>
      <c r="O47" s="103"/>
      <c r="P47" s="97"/>
      <c r="Q47" s="98">
        <v>0</v>
      </c>
      <c r="R47" s="98">
        <v>103.43158000357279</v>
      </c>
      <c r="S47" s="98">
        <v>139.63999999999999</v>
      </c>
      <c r="T47" s="98">
        <v>120.03</v>
      </c>
      <c r="U47" s="99">
        <v>91.79</v>
      </c>
      <c r="V47" s="98">
        <v>117.96</v>
      </c>
      <c r="W47" s="231">
        <v>107.23</v>
      </c>
      <c r="X47" s="233">
        <v>6.3</v>
      </c>
    </row>
    <row r="48" spans="1:24">
      <c r="A48" s="111" t="s">
        <v>15</v>
      </c>
      <c r="B48" s="103"/>
      <c r="C48" s="112">
        <v>967.63</v>
      </c>
      <c r="D48" s="112">
        <v>-325.75</v>
      </c>
      <c r="E48" s="98">
        <v>-1021.28</v>
      </c>
      <c r="F48" s="98">
        <v>-659.67</v>
      </c>
      <c r="G48" s="98">
        <v>-811.79</v>
      </c>
      <c r="H48" s="121">
        <v>-596.14</v>
      </c>
      <c r="I48" s="121">
        <v>-1329.92</v>
      </c>
      <c r="J48" s="121">
        <v>1071.47</v>
      </c>
      <c r="K48" s="121">
        <v>-253.87</v>
      </c>
      <c r="L48"/>
      <c r="M48" s="215"/>
      <c r="N48" s="111" t="s">
        <v>164</v>
      </c>
      <c r="O48" s="96">
        <v>549.04</v>
      </c>
      <c r="P48" s="97">
        <v>1334.13</v>
      </c>
      <c r="Q48" s="98">
        <v>1675.91</v>
      </c>
      <c r="R48" s="98">
        <v>1471.44</v>
      </c>
      <c r="S48" s="98">
        <v>1322.96</v>
      </c>
      <c r="T48" s="98">
        <v>1701.28</v>
      </c>
      <c r="U48" s="99">
        <v>2254.9899999999998</v>
      </c>
      <c r="V48" s="98">
        <v>2516.77</v>
      </c>
      <c r="W48" s="231">
        <v>3352.54</v>
      </c>
      <c r="X48" s="233">
        <v>2410.59</v>
      </c>
    </row>
    <row r="49" spans="1:24">
      <c r="A49" s="106" t="s">
        <v>16</v>
      </c>
      <c r="B49" s="104">
        <f t="shared" ref="B49:C49" si="39">SUM(B46:B48)</f>
        <v>0</v>
      </c>
      <c r="C49" s="107">
        <f t="shared" si="39"/>
        <v>-696.4</v>
      </c>
      <c r="D49" s="107">
        <f t="shared" ref="D49:F49" si="40">SUM(D46:D48)</f>
        <v>-38.009999999999991</v>
      </c>
      <c r="E49" s="104">
        <f t="shared" si="40"/>
        <v>-44.280000000000086</v>
      </c>
      <c r="F49" s="104">
        <f t="shared" si="40"/>
        <v>265.81000000000006</v>
      </c>
      <c r="G49" s="104">
        <f>SUM(G46:G48)</f>
        <v>73.759999999999991</v>
      </c>
      <c r="H49" s="104">
        <f>SUM(H46:H48)</f>
        <v>-142.77999999999997</v>
      </c>
      <c r="I49" s="152">
        <f>SUM(I46:I48)</f>
        <v>247.97999999999979</v>
      </c>
      <c r="J49" s="152">
        <f>SUM(J46:J48)</f>
        <v>189.74</v>
      </c>
      <c r="K49" s="152">
        <f>SUM(K46:K48)</f>
        <v>-82.37</v>
      </c>
      <c r="L49"/>
      <c r="M49" s="221"/>
      <c r="N49" s="111" t="s">
        <v>144</v>
      </c>
      <c r="O49" s="103"/>
      <c r="P49" s="97"/>
      <c r="Q49" s="98">
        <v>3.6812170000000002</v>
      </c>
      <c r="R49" s="98">
        <v>3.6782245801895499</v>
      </c>
      <c r="S49" s="98">
        <v>7.87</v>
      </c>
      <c r="T49" s="98">
        <v>7.87</v>
      </c>
      <c r="U49" s="99">
        <v>8.16</v>
      </c>
      <c r="V49" s="98">
        <v>8.0299999999999994</v>
      </c>
      <c r="W49" s="231">
        <v>5.53</v>
      </c>
      <c r="X49" s="233">
        <v>7.41</v>
      </c>
    </row>
    <row r="50" spans="1:24">
      <c r="A50" s="135" t="s">
        <v>161</v>
      </c>
      <c r="B50" s="153"/>
      <c r="C50" s="154">
        <f>-36.08+477.05</f>
        <v>440.97</v>
      </c>
      <c r="D50" s="154">
        <v>-6.02</v>
      </c>
      <c r="E50" s="153">
        <v>7.04</v>
      </c>
      <c r="F50" s="153">
        <v>9.65</v>
      </c>
      <c r="G50" s="153">
        <v>-4.79</v>
      </c>
      <c r="H50" s="153">
        <v>15.05</v>
      </c>
      <c r="I50" s="155">
        <v>1.35</v>
      </c>
      <c r="J50" s="155">
        <v>3.71</v>
      </c>
      <c r="K50" s="155">
        <v>50.19</v>
      </c>
      <c r="L50"/>
      <c r="M50" s="222"/>
      <c r="N50" s="111" t="s">
        <v>145</v>
      </c>
      <c r="O50" s="96">
        <v>2.5299999999999998</v>
      </c>
      <c r="P50" s="97">
        <v>2.83</v>
      </c>
      <c r="Q50" s="98">
        <v>5.9513239999999996</v>
      </c>
      <c r="R50" s="98">
        <v>6.1545310000000004</v>
      </c>
      <c r="S50" s="98">
        <v>6.27</v>
      </c>
      <c r="T50" s="98">
        <v>6.51</v>
      </c>
      <c r="U50" s="99">
        <v>7.39</v>
      </c>
      <c r="V50" s="98">
        <v>7.98</v>
      </c>
      <c r="W50" s="231">
        <v>8.15</v>
      </c>
      <c r="X50" s="233">
        <v>11.2</v>
      </c>
    </row>
    <row r="51" spans="1:24" ht="15" thickBot="1">
      <c r="A51" s="237" t="s">
        <v>62</v>
      </c>
      <c r="B51" s="157"/>
      <c r="C51" s="158">
        <f t="shared" ref="C51" si="41">+C45+C49+C50</f>
        <v>136.59000000000003</v>
      </c>
      <c r="D51" s="158">
        <f t="shared" ref="D51:F51" si="42">+D45+D49+D50</f>
        <v>173.27</v>
      </c>
      <c r="E51" s="157">
        <f t="shared" si="42"/>
        <v>136.02999999999992</v>
      </c>
      <c r="F51" s="157">
        <f t="shared" si="42"/>
        <v>411.48</v>
      </c>
      <c r="G51" s="157">
        <f>+G45+G49+G50</f>
        <v>480.45</v>
      </c>
      <c r="H51" s="157">
        <f>+H45+H49+H50</f>
        <v>352.72</v>
      </c>
      <c r="I51" s="157">
        <v>461.11</v>
      </c>
      <c r="J51" s="157">
        <f>+J45+J49+J50</f>
        <v>654.56000000000006</v>
      </c>
      <c r="K51" s="157">
        <f>+K45+K49+K50</f>
        <v>622.38000000000011</v>
      </c>
      <c r="L51"/>
      <c r="M51" s="220"/>
      <c r="N51" s="111" t="s">
        <v>107</v>
      </c>
      <c r="O51" s="96">
        <v>28.01</v>
      </c>
      <c r="P51" s="97">
        <v>20.260000000000002</v>
      </c>
      <c r="Q51" s="98">
        <v>16.350000000000001</v>
      </c>
      <c r="R51" s="98">
        <v>57.772974641800005</v>
      </c>
      <c r="S51" s="98">
        <v>227.7</v>
      </c>
      <c r="T51" s="98">
        <v>274.58999999999997</v>
      </c>
      <c r="U51" s="99">
        <v>287.08</v>
      </c>
      <c r="V51" s="98">
        <v>313.43</v>
      </c>
      <c r="W51" s="231">
        <v>372.41</v>
      </c>
      <c r="X51" s="233">
        <v>130.6</v>
      </c>
    </row>
    <row r="52" spans="1:24" ht="15" thickBot="1">
      <c r="A52" s="143"/>
      <c r="C52" s="145"/>
      <c r="D52" s="205"/>
      <c r="E52" s="205"/>
      <c r="F52" s="205"/>
      <c r="G52" s="205"/>
      <c r="H52" s="145"/>
      <c r="I52" s="145"/>
      <c r="J52" s="145"/>
      <c r="K52" s="145"/>
      <c r="L52"/>
      <c r="M52" s="145"/>
      <c r="N52" s="111" t="s">
        <v>146</v>
      </c>
      <c r="O52" s="103"/>
      <c r="P52" s="97"/>
      <c r="Q52" s="98">
        <v>141.56998447999999</v>
      </c>
      <c r="R52" s="98">
        <v>77.467974595277951</v>
      </c>
      <c r="S52" s="98">
        <v>82.23</v>
      </c>
      <c r="T52" s="98">
        <v>31.89</v>
      </c>
      <c r="U52" s="99">
        <v>116.64</v>
      </c>
      <c r="V52" s="98">
        <v>51.11</v>
      </c>
      <c r="W52" s="231">
        <v>135.03</v>
      </c>
      <c r="X52" s="233">
        <v>64.040000000000006</v>
      </c>
    </row>
    <row r="53" spans="1:24" ht="57.6">
      <c r="A53" s="147" t="s">
        <v>17</v>
      </c>
      <c r="B53" s="159"/>
      <c r="C53" s="160" t="s">
        <v>29</v>
      </c>
      <c r="D53" s="149" t="s">
        <v>77</v>
      </c>
      <c r="E53" s="150" t="s">
        <v>133</v>
      </c>
      <c r="F53" s="150" t="s">
        <v>151</v>
      </c>
      <c r="G53" s="150" t="s">
        <v>152</v>
      </c>
      <c r="H53" s="161" t="s">
        <v>155</v>
      </c>
      <c r="I53" s="161" t="s">
        <v>160</v>
      </c>
      <c r="J53" s="161" t="s">
        <v>163</v>
      </c>
      <c r="K53" s="161" t="s">
        <v>166</v>
      </c>
      <c r="L53"/>
      <c r="M53" s="212"/>
      <c r="N53" s="111" t="s">
        <v>147</v>
      </c>
      <c r="O53" s="96">
        <v>23.26</v>
      </c>
      <c r="P53" s="97">
        <v>161.19999999999999</v>
      </c>
      <c r="Q53" s="98">
        <v>658.46794271279998</v>
      </c>
      <c r="R53" s="98">
        <v>0</v>
      </c>
      <c r="S53" s="98"/>
      <c r="T53" s="98"/>
      <c r="U53" s="98"/>
      <c r="V53" s="121"/>
      <c r="W53" s="226"/>
      <c r="X53" s="233">
        <v>3051.89</v>
      </c>
    </row>
    <row r="54" spans="1:24">
      <c r="A54" s="106" t="s">
        <v>23</v>
      </c>
      <c r="B54" s="89"/>
      <c r="C54" s="91">
        <f t="shared" ref="C54" si="43">C46</f>
        <v>-527.02</v>
      </c>
      <c r="D54" s="107">
        <f t="shared" ref="D54:F54" si="44">D46</f>
        <v>505.01</v>
      </c>
      <c r="E54" s="104">
        <f t="shared" si="44"/>
        <v>1092.6199999999999</v>
      </c>
      <c r="F54" s="104">
        <f t="shared" si="44"/>
        <v>806.03</v>
      </c>
      <c r="G54" s="104">
        <f>G46</f>
        <v>1034.8699999999999</v>
      </c>
      <c r="H54" s="104">
        <f>H46</f>
        <v>700.99</v>
      </c>
      <c r="I54" s="104">
        <f>I46</f>
        <v>2018.06</v>
      </c>
      <c r="J54" s="104">
        <f>J46</f>
        <v>-293.51</v>
      </c>
      <c r="K54" s="104">
        <f>K46</f>
        <v>603.88</v>
      </c>
      <c r="L54"/>
      <c r="M54" s="220"/>
      <c r="N54" s="106" t="s">
        <v>159</v>
      </c>
      <c r="O54" s="108">
        <f>(O31-O43-O10)</f>
        <v>708.98999999999921</v>
      </c>
      <c r="P54" s="129">
        <f t="shared" ref="P54:W54" si="45">P31-P43</f>
        <v>2055.2400000000002</v>
      </c>
      <c r="Q54" s="108">
        <f t="shared" si="45"/>
        <v>2878.0440396872982</v>
      </c>
      <c r="R54" s="108">
        <f t="shared" si="45"/>
        <v>1846.4549961941793</v>
      </c>
      <c r="S54" s="108">
        <f t="shared" si="45"/>
        <v>2588.0600000000009</v>
      </c>
      <c r="T54" s="108">
        <f t="shared" si="45"/>
        <v>1991.8399999999997</v>
      </c>
      <c r="U54" s="108">
        <f t="shared" si="45"/>
        <v>1974.21</v>
      </c>
      <c r="V54" s="108">
        <f t="shared" si="45"/>
        <v>1991.4900000000007</v>
      </c>
      <c r="W54" s="230">
        <f t="shared" si="45"/>
        <v>2751.83</v>
      </c>
      <c r="X54" s="235">
        <f>X31-X43</f>
        <v>2717.0699999999997</v>
      </c>
    </row>
    <row r="55" spans="1:24">
      <c r="A55" s="135" t="s">
        <v>24</v>
      </c>
      <c r="B55" s="119"/>
      <c r="C55" s="114"/>
      <c r="D55" s="154">
        <f>-341.5+292.63</f>
        <v>-48.870000000000005</v>
      </c>
      <c r="E55" s="153">
        <f>-259.27+93.93</f>
        <v>-165.33999999999997</v>
      </c>
      <c r="F55" s="153">
        <f>-246.18+527.54</f>
        <v>281.35999999999996</v>
      </c>
      <c r="G55" s="153">
        <f>-187.53+3.56</f>
        <v>-183.97</v>
      </c>
      <c r="H55" s="153">
        <f>-217.56+0.63</f>
        <v>-216.93</v>
      </c>
      <c r="I55" s="153">
        <f>-330.42+1.65</f>
        <v>-328.77000000000004</v>
      </c>
      <c r="J55" s="153">
        <v>-185.81</v>
      </c>
      <c r="K55" s="153">
        <f>-403.76+2.23</f>
        <v>-401.53</v>
      </c>
      <c r="L55"/>
      <c r="M55" s="223"/>
      <c r="N55" s="111" t="s">
        <v>98</v>
      </c>
      <c r="O55" s="96">
        <v>20.3</v>
      </c>
      <c r="P55" s="97">
        <v>154.36000000000001</v>
      </c>
      <c r="Q55" s="98">
        <v>103.8149016465</v>
      </c>
      <c r="R55" s="98">
        <v>53.520115328400003</v>
      </c>
      <c r="S55" s="98">
        <v>32.28</v>
      </c>
      <c r="T55" s="98">
        <v>70.349999999999994</v>
      </c>
      <c r="U55" s="99">
        <v>23.67</v>
      </c>
      <c r="V55" s="113">
        <v>14.51</v>
      </c>
      <c r="W55" s="229">
        <v>9.57</v>
      </c>
      <c r="X55" s="233">
        <v>0</v>
      </c>
    </row>
    <row r="56" spans="1:24" ht="15" thickBot="1">
      <c r="A56" s="210" t="s">
        <v>25</v>
      </c>
      <c r="B56" s="163"/>
      <c r="C56" s="158">
        <f t="shared" ref="C56" si="46">+C54+C55</f>
        <v>-527.02</v>
      </c>
      <c r="D56" s="158">
        <f t="shared" ref="D56:F56" si="47">+D54+D55</f>
        <v>456.14</v>
      </c>
      <c r="E56" s="157">
        <f t="shared" si="47"/>
        <v>927.28</v>
      </c>
      <c r="F56" s="157">
        <f t="shared" si="47"/>
        <v>1087.3899999999999</v>
      </c>
      <c r="G56" s="157">
        <f>+G54+G55</f>
        <v>850.89999999999986</v>
      </c>
      <c r="H56" s="157">
        <f>+H54+H55</f>
        <v>484.06</v>
      </c>
      <c r="I56" s="157">
        <f>+I54+I55</f>
        <v>1689.29</v>
      </c>
      <c r="J56" s="157">
        <f>+J54+J55</f>
        <v>-479.32</v>
      </c>
      <c r="K56" s="157">
        <f>+K54+K55</f>
        <v>202.35000000000002</v>
      </c>
      <c r="L56"/>
      <c r="M56" s="220"/>
      <c r="N56" s="111" t="s">
        <v>99</v>
      </c>
      <c r="O56" s="96">
        <v>0</v>
      </c>
      <c r="P56" s="97">
        <v>127.88</v>
      </c>
      <c r="Q56" s="98">
        <v>113.92453382889599</v>
      </c>
      <c r="R56" s="98">
        <v>92.22462262339198</v>
      </c>
      <c r="S56" s="98">
        <v>70.52</v>
      </c>
      <c r="T56" s="98">
        <v>48.82</v>
      </c>
      <c r="U56" s="99">
        <v>27.12</v>
      </c>
      <c r="V56" s="113">
        <v>5.42</v>
      </c>
      <c r="W56" s="229">
        <v>0</v>
      </c>
      <c r="X56" s="233"/>
    </row>
    <row r="57" spans="1:24" ht="15" thickBot="1">
      <c r="A57" s="143" t="s">
        <v>26</v>
      </c>
      <c r="C57" s="145"/>
      <c r="D57" s="205"/>
      <c r="E57" s="205"/>
      <c r="F57" s="205"/>
      <c r="G57" s="205"/>
      <c r="H57" s="145"/>
      <c r="I57" s="145"/>
      <c r="J57" s="145"/>
      <c r="K57" s="145"/>
      <c r="L57" s="145"/>
      <c r="M57" s="145"/>
      <c r="N57" s="111" t="s">
        <v>129</v>
      </c>
      <c r="O57" s="103"/>
      <c r="P57" s="97"/>
      <c r="Q57" s="98">
        <v>0</v>
      </c>
      <c r="R57" s="98">
        <v>374.3548753881272</v>
      </c>
      <c r="S57" s="98">
        <v>419.24</v>
      </c>
      <c r="T57" s="98">
        <v>355.54</v>
      </c>
      <c r="U57" s="99">
        <v>361.58</v>
      </c>
      <c r="V57" s="113">
        <v>407.81</v>
      </c>
      <c r="W57" s="229">
        <v>318.37</v>
      </c>
      <c r="X57" s="233">
        <v>8.5399999999999991</v>
      </c>
    </row>
    <row r="58" spans="1:24" ht="58.2" thickBot="1">
      <c r="A58" s="147"/>
      <c r="B58" s="159"/>
      <c r="C58" s="160" t="s">
        <v>29</v>
      </c>
      <c r="D58" s="149" t="s">
        <v>77</v>
      </c>
      <c r="E58" s="150" t="s">
        <v>133</v>
      </c>
      <c r="F58" s="150" t="s">
        <v>151</v>
      </c>
      <c r="G58" s="150" t="s">
        <v>152</v>
      </c>
      <c r="H58" s="161" t="s">
        <v>155</v>
      </c>
      <c r="I58" s="161" t="s">
        <v>160</v>
      </c>
      <c r="J58" s="161" t="s">
        <v>163</v>
      </c>
      <c r="K58" s="161" t="s">
        <v>166</v>
      </c>
      <c r="L58" s="161" t="s">
        <v>168</v>
      </c>
      <c r="M58" s="212"/>
      <c r="N58" s="164" t="s">
        <v>143</v>
      </c>
      <c r="O58" s="96"/>
      <c r="P58" s="97"/>
      <c r="Q58" s="98">
        <v>37.023870020000004</v>
      </c>
      <c r="R58" s="98">
        <v>46.059881359999999</v>
      </c>
      <c r="S58" s="98">
        <v>57.22</v>
      </c>
      <c r="T58" s="98">
        <v>58.28</v>
      </c>
      <c r="U58" s="99">
        <v>61.81</v>
      </c>
      <c r="V58" s="113">
        <v>53.12</v>
      </c>
      <c r="W58" s="229">
        <v>40.21</v>
      </c>
      <c r="X58" s="233">
        <v>25.37</v>
      </c>
    </row>
    <row r="59" spans="1:24">
      <c r="A59" s="165" t="s">
        <v>63</v>
      </c>
      <c r="B59" s="166"/>
      <c r="C59" s="167">
        <v>12752696</v>
      </c>
      <c r="D59" s="167">
        <v>12881058</v>
      </c>
      <c r="E59" s="168">
        <v>12884781</v>
      </c>
      <c r="F59" s="168">
        <v>12884781</v>
      </c>
      <c r="G59" s="168">
        <v>12884781</v>
      </c>
      <c r="H59" s="168">
        <v>12884781</v>
      </c>
      <c r="I59" s="168">
        <v>12888434</v>
      </c>
      <c r="J59" s="168">
        <v>14707152</v>
      </c>
      <c r="K59" s="168">
        <v>14740983</v>
      </c>
      <c r="L59" s="168">
        <v>14740983</v>
      </c>
      <c r="M59" s="223"/>
      <c r="N59" s="111" t="s">
        <v>132</v>
      </c>
      <c r="O59" s="96">
        <v>0</v>
      </c>
      <c r="P59" s="97">
        <v>322.12</v>
      </c>
      <c r="Q59" s="98">
        <v>0.15989512</v>
      </c>
      <c r="R59" s="98">
        <v>1.99590679</v>
      </c>
      <c r="S59" s="98">
        <v>0</v>
      </c>
      <c r="T59" s="98">
        <v>77.3</v>
      </c>
      <c r="U59" s="99">
        <v>167.39</v>
      </c>
      <c r="V59" s="113">
        <v>672.17</v>
      </c>
      <c r="W59" s="229">
        <v>7.75</v>
      </c>
      <c r="X59" s="233">
        <v>0</v>
      </c>
    </row>
    <row r="60" spans="1:24">
      <c r="A60" s="111" t="s">
        <v>64</v>
      </c>
      <c r="B60" s="119"/>
      <c r="C60" s="154">
        <f>C59*P67/1000000</f>
        <v>7448.2120987999988</v>
      </c>
      <c r="D60" s="154">
        <f>D59*Q67/1000000</f>
        <v>5586.5148545999991</v>
      </c>
      <c r="E60" s="153">
        <f>E59*R67/1000000</f>
        <v>3092.34744</v>
      </c>
      <c r="F60" s="153">
        <f>(F59*S67)/1000000</f>
        <v>4885.9089551999996</v>
      </c>
      <c r="G60" s="153">
        <f>(G59*T67)/1000000</f>
        <v>7632.9442644000001</v>
      </c>
      <c r="H60" s="153">
        <f>(H59*U67)/1000000</f>
        <v>9108.8959279500014</v>
      </c>
      <c r="I60" s="153">
        <f>(I59*V67)/1000000</f>
        <v>21646.769324700002</v>
      </c>
      <c r="J60" s="153">
        <f>(J59*W67)/1000000</f>
        <v>23434.375996800001</v>
      </c>
      <c r="K60" s="153">
        <f>(K59*X67)/1000000</f>
        <v>40761.029142450003</v>
      </c>
      <c r="L60" s="153">
        <f>(L59*Y67)/1000000</f>
        <v>55798.305900749998</v>
      </c>
      <c r="M60" s="223"/>
      <c r="N60" s="111" t="s">
        <v>142</v>
      </c>
      <c r="O60" s="96"/>
      <c r="P60" s="97"/>
      <c r="Q60" s="98">
        <v>20.14</v>
      </c>
      <c r="R60" s="98">
        <v>16.454709419810449</v>
      </c>
      <c r="S60" s="98">
        <v>34.44</v>
      </c>
      <c r="T60" s="98">
        <v>26.57</v>
      </c>
      <c r="U60" s="99">
        <v>24.43</v>
      </c>
      <c r="V60" s="113">
        <v>16.399999999999999</v>
      </c>
      <c r="W60" s="229">
        <v>11.02</v>
      </c>
      <c r="X60" s="233">
        <v>13.26</v>
      </c>
    </row>
    <row r="61" spans="1:24">
      <c r="A61" s="111" t="s">
        <v>67</v>
      </c>
      <c r="B61" s="119"/>
      <c r="C61" s="154">
        <f t="shared" ref="C61:I61" si="48">P11</f>
        <v>2476.58</v>
      </c>
      <c r="D61" s="154">
        <f t="shared" si="48"/>
        <v>3146.4834603416998</v>
      </c>
      <c r="E61" s="153">
        <f t="shared" si="48"/>
        <v>2721.1641426173001</v>
      </c>
      <c r="F61" s="153">
        <f t="shared" si="48"/>
        <v>3183.79</v>
      </c>
      <c r="G61" s="153">
        <f t="shared" si="48"/>
        <v>2725.99</v>
      </c>
      <c r="H61" s="153">
        <f t="shared" si="48"/>
        <v>2627.61</v>
      </c>
      <c r="I61" s="153">
        <f t="shared" si="48"/>
        <v>1892.74</v>
      </c>
      <c r="J61" s="153">
        <f>W11</f>
        <v>1447.83</v>
      </c>
      <c r="K61" s="153">
        <f t="shared" ref="K61:L61" si="49">X11</f>
        <v>1219.9199999999998</v>
      </c>
      <c r="L61" s="153">
        <f t="shared" si="49"/>
        <v>0</v>
      </c>
      <c r="M61" s="223"/>
      <c r="N61" s="88"/>
      <c r="O61" s="89"/>
      <c r="P61" s="169"/>
      <c r="Q61" s="94"/>
      <c r="R61" s="94"/>
      <c r="S61" s="94"/>
      <c r="T61" s="94"/>
      <c r="U61" s="94"/>
      <c r="V61" s="121"/>
      <c r="W61" s="226"/>
      <c r="X61" s="233"/>
    </row>
    <row r="62" spans="1:24">
      <c r="A62" s="111" t="s">
        <v>65</v>
      </c>
      <c r="B62" s="119"/>
      <c r="C62" s="154">
        <f t="shared" ref="C62:I62" si="50">P37+P36</f>
        <v>289.89999999999998</v>
      </c>
      <c r="D62" s="154">
        <f t="shared" si="50"/>
        <v>291.56622400889995</v>
      </c>
      <c r="E62" s="153">
        <f t="shared" si="50"/>
        <v>233.08069785378112</v>
      </c>
      <c r="F62" s="153">
        <f t="shared" si="50"/>
        <v>598.56000000000006</v>
      </c>
      <c r="G62" s="153">
        <f t="shared" si="50"/>
        <v>574.1</v>
      </c>
      <c r="H62" s="153">
        <f t="shared" si="50"/>
        <v>421.96</v>
      </c>
      <c r="I62" s="153">
        <f t="shared" si="50"/>
        <v>715.79</v>
      </c>
      <c r="J62" s="153">
        <f t="shared" ref="J62" si="51">W37+W36</f>
        <v>1296.4099999999999</v>
      </c>
      <c r="K62" s="153">
        <f>X37+X36</f>
        <v>1201.1199999999999</v>
      </c>
      <c r="L62" s="153">
        <f>Y37+Y36</f>
        <v>0</v>
      </c>
      <c r="M62" s="223"/>
      <c r="N62" s="106" t="s">
        <v>73</v>
      </c>
      <c r="O62" s="108">
        <f t="shared" ref="O62:V62" si="52">SUM(O15:O30)+O31</f>
        <v>4018.5399999999991</v>
      </c>
      <c r="P62" s="129">
        <f t="shared" si="52"/>
        <v>8653.8700000000008</v>
      </c>
      <c r="Q62" s="108">
        <f t="shared" si="52"/>
        <v>10960.692104208349</v>
      </c>
      <c r="R62" s="108">
        <f t="shared" si="52"/>
        <v>10771.685782822369</v>
      </c>
      <c r="S62" s="108">
        <f t="shared" si="52"/>
        <v>9804.7000000000007</v>
      </c>
      <c r="T62" s="108">
        <f t="shared" si="52"/>
        <v>9229.59</v>
      </c>
      <c r="U62" s="108">
        <f t="shared" si="52"/>
        <v>10726.98</v>
      </c>
      <c r="V62" s="108">
        <f t="shared" si="52"/>
        <v>10638.039999999999</v>
      </c>
      <c r="W62" s="230">
        <f>W14+W31</f>
        <v>12394.46</v>
      </c>
      <c r="X62" s="235">
        <f>X14+X31</f>
        <v>13027.12</v>
      </c>
    </row>
    <row r="63" spans="1:24" ht="15" thickBot="1">
      <c r="A63" s="156" t="s">
        <v>66</v>
      </c>
      <c r="B63" s="141"/>
      <c r="C63" s="158">
        <f t="shared" ref="C63" si="53">C60+C61-C62</f>
        <v>9634.8920987999991</v>
      </c>
      <c r="D63" s="158">
        <f t="shared" ref="D63:F63" si="54">D60+D61-D62</f>
        <v>8441.432090932798</v>
      </c>
      <c r="E63" s="157">
        <f t="shared" si="54"/>
        <v>5580.4308847635193</v>
      </c>
      <c r="F63" s="157">
        <f t="shared" si="54"/>
        <v>7471.1389551999991</v>
      </c>
      <c r="G63" s="157">
        <f>G60+G61-G62</f>
        <v>9784.8342643999986</v>
      </c>
      <c r="H63" s="157">
        <f>H60+H61-H62</f>
        <v>11314.545927950003</v>
      </c>
      <c r="I63" s="157">
        <f>I60+I61-I62</f>
        <v>22823.719324700003</v>
      </c>
      <c r="J63" s="157">
        <f>J60+J61-J62</f>
        <v>23585.795996800003</v>
      </c>
      <c r="K63" s="157">
        <f>K60+K61-K62</f>
        <v>40779.829142449998</v>
      </c>
      <c r="L63" s="157">
        <f>L60+L61-L62</f>
        <v>55798.305900749998</v>
      </c>
      <c r="M63" s="220"/>
      <c r="N63" s="162" t="s">
        <v>74</v>
      </c>
      <c r="O63" s="224">
        <f t="shared" ref="O63:X63" si="55">O60+O43+O11+O7+O55+O61+O56+O59+O58+O8+O57</f>
        <v>4018.54</v>
      </c>
      <c r="P63" s="225">
        <f t="shared" si="55"/>
        <v>8653.8700000000008</v>
      </c>
      <c r="Q63" s="224">
        <f t="shared" si="55"/>
        <v>10960.698309149897</v>
      </c>
      <c r="R63" s="224">
        <f t="shared" si="55"/>
        <v>10771.667948347873</v>
      </c>
      <c r="S63" s="224">
        <f t="shared" si="55"/>
        <v>9804.6999999999989</v>
      </c>
      <c r="T63" s="224">
        <f t="shared" si="55"/>
        <v>9229.61</v>
      </c>
      <c r="U63" s="224">
        <f t="shared" si="55"/>
        <v>10726.98</v>
      </c>
      <c r="V63" s="224">
        <f t="shared" si="55"/>
        <v>10638.039999999997</v>
      </c>
      <c r="W63" s="232">
        <f t="shared" si="55"/>
        <v>12394.46</v>
      </c>
      <c r="X63" s="236">
        <f t="shared" si="55"/>
        <v>13027.120000000003</v>
      </c>
    </row>
    <row r="64" spans="1:24" ht="15" thickBot="1">
      <c r="A64" s="143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260"/>
      <c r="O64" s="261"/>
      <c r="P64" s="262"/>
      <c r="Q64" s="263"/>
      <c r="R64" s="264"/>
      <c r="S64" s="264"/>
      <c r="T64" s="264"/>
      <c r="U64" s="264"/>
      <c r="V64" s="264"/>
      <c r="W64" s="252"/>
      <c r="X64" s="252"/>
    </row>
    <row r="65" spans="1:25" ht="15" thickBot="1">
      <c r="A65" s="143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257" t="s">
        <v>40</v>
      </c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9"/>
    </row>
    <row r="66" spans="1:25">
      <c r="A66" s="143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253" t="s">
        <v>41</v>
      </c>
      <c r="O66" s="265"/>
      <c r="P66" s="266" t="s">
        <v>29</v>
      </c>
      <c r="Q66" s="266" t="s">
        <v>77</v>
      </c>
      <c r="R66" s="267" t="s">
        <v>133</v>
      </c>
      <c r="S66" s="267" t="s">
        <v>151</v>
      </c>
      <c r="T66" s="267" t="s">
        <v>152</v>
      </c>
      <c r="U66" s="267" t="s">
        <v>155</v>
      </c>
      <c r="V66" s="268" t="s">
        <v>160</v>
      </c>
      <c r="W66" s="255" t="s">
        <v>163</v>
      </c>
      <c r="X66" s="255" t="s">
        <v>166</v>
      </c>
      <c r="Y66" s="270" t="s">
        <v>168</v>
      </c>
    </row>
    <row r="67" spans="1:25">
      <c r="A67" s="143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1" t="s">
        <v>42</v>
      </c>
      <c r="O67" s="91"/>
      <c r="P67" s="172">
        <v>584.04999999999995</v>
      </c>
      <c r="Q67" s="173">
        <v>433.7</v>
      </c>
      <c r="R67" s="173">
        <v>240</v>
      </c>
      <c r="S67" s="173">
        <v>379.2</v>
      </c>
      <c r="T67" s="173">
        <v>592.4</v>
      </c>
      <c r="U67" s="173">
        <v>706.95</v>
      </c>
      <c r="V67" s="173">
        <v>1679.55</v>
      </c>
      <c r="W67" s="173">
        <v>1593.4</v>
      </c>
      <c r="X67" s="173">
        <v>2765.15</v>
      </c>
      <c r="Y67" s="271">
        <v>3785.25</v>
      </c>
    </row>
    <row r="68" spans="1:25">
      <c r="A68" s="143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4" t="s">
        <v>43</v>
      </c>
      <c r="O68" s="127"/>
      <c r="P68" s="110">
        <f>C37</f>
        <v>26.8</v>
      </c>
      <c r="Q68" s="152">
        <f>D37</f>
        <v>30.51</v>
      </c>
      <c r="R68" s="152">
        <f>E37</f>
        <v>15.45</v>
      </c>
      <c r="S68" s="152">
        <f>F37</f>
        <v>13.3</v>
      </c>
      <c r="T68" s="152">
        <f>G37</f>
        <v>-23.7</v>
      </c>
      <c r="U68" s="152">
        <f>H37</f>
        <v>7.55</v>
      </c>
      <c r="V68" s="152">
        <v>1.36</v>
      </c>
      <c r="W68" s="152">
        <f>J37</f>
        <v>1.88</v>
      </c>
      <c r="X68" s="152">
        <f>K37</f>
        <v>-31.62</v>
      </c>
      <c r="Y68" s="272">
        <f>+K37+L37-3.96</f>
        <v>35.889999999999993</v>
      </c>
    </row>
    <row r="69" spans="1:25">
      <c r="A69" s="143"/>
      <c r="H69" s="170"/>
      <c r="N69" s="175" t="s">
        <v>44</v>
      </c>
      <c r="O69" s="137"/>
      <c r="P69" s="176">
        <f>(P7*1000000)/C59</f>
        <v>164.63969657866855</v>
      </c>
      <c r="Q69" s="155">
        <f>(Q7*1000000)/D59</f>
        <v>170.03503749459088</v>
      </c>
      <c r="R69" s="155">
        <f>(R7*1000000)/E59</f>
        <v>159.21018836098185</v>
      </c>
      <c r="S69" s="155">
        <f>(S7*1000000)/F59</f>
        <v>173.13759543138525</v>
      </c>
      <c r="T69" s="155">
        <f>(T7*1000000)/G59</f>
        <v>158.30148762326652</v>
      </c>
      <c r="U69" s="155">
        <f>(U7*1000000)/H59</f>
        <v>163.53945014664976</v>
      </c>
      <c r="V69" s="177">
        <f>(V7*1000000)/I59</f>
        <v>157.71660079106584</v>
      </c>
      <c r="W69" s="177">
        <f>(W7*1000000)/J59</f>
        <v>275.52785202736737</v>
      </c>
      <c r="X69" s="178">
        <f>(X7*1000000)/K59</f>
        <v>232.82707808563379</v>
      </c>
      <c r="Y69" s="275" t="s">
        <v>118</v>
      </c>
    </row>
    <row r="70" spans="1:25">
      <c r="A70" s="143"/>
      <c r="N70" s="175" t="s">
        <v>45</v>
      </c>
      <c r="O70" s="137"/>
      <c r="P70" s="179">
        <v>2</v>
      </c>
      <c r="Q70" s="155">
        <v>1</v>
      </c>
      <c r="R70" s="155">
        <v>4</v>
      </c>
      <c r="S70" s="155">
        <v>2</v>
      </c>
      <c r="T70" s="155">
        <v>2.5</v>
      </c>
      <c r="U70" s="155">
        <v>4</v>
      </c>
      <c r="V70" s="177">
        <v>3</v>
      </c>
      <c r="W70" s="177">
        <v>6</v>
      </c>
      <c r="X70" s="178">
        <v>5</v>
      </c>
      <c r="Y70" s="275" t="s">
        <v>118</v>
      </c>
    </row>
    <row r="71" spans="1:25">
      <c r="A71" s="143"/>
      <c r="N71" s="175" t="s">
        <v>46</v>
      </c>
      <c r="O71" s="137"/>
      <c r="P71" s="180" t="s">
        <v>118</v>
      </c>
      <c r="Q71" s="155">
        <f>(Q67/Q68)</f>
        <v>14.215011471648639</v>
      </c>
      <c r="R71" s="155">
        <f>(R67/R68)</f>
        <v>15.533980582524272</v>
      </c>
      <c r="S71" s="155">
        <f>(S67/S68)</f>
        <v>28.511278195488721</v>
      </c>
      <c r="T71" s="177" t="s">
        <v>118</v>
      </c>
      <c r="U71" s="177">
        <f>U67/U68</f>
        <v>93.635761589403984</v>
      </c>
      <c r="V71" s="177">
        <f>V67/V68</f>
        <v>1234.9632352941176</v>
      </c>
      <c r="W71" s="177">
        <f>W67/W68</f>
        <v>847.55319148936178</v>
      </c>
      <c r="X71" s="178">
        <f>X67/X68</f>
        <v>-87.449399114484507</v>
      </c>
      <c r="Y71" s="273">
        <f>Y67/Y68</f>
        <v>105.46809696294234</v>
      </c>
    </row>
    <row r="72" spans="1:25">
      <c r="A72" s="143"/>
      <c r="N72" s="175" t="s">
        <v>47</v>
      </c>
      <c r="O72" s="137"/>
      <c r="P72" s="180">
        <f t="shared" ref="P72" si="56">(P67/P69)</f>
        <v>3.547443369594208</v>
      </c>
      <c r="Q72" s="155">
        <f t="shared" ref="Q72:U72" si="57">(Q67/Q69)</f>
        <v>2.5506507740429485</v>
      </c>
      <c r="R72" s="155">
        <f t="shared" si="57"/>
        <v>1.5074412163613617</v>
      </c>
      <c r="S72" s="155">
        <f t="shared" si="57"/>
        <v>2.1901655677681955</v>
      </c>
      <c r="T72" s="155">
        <f t="shared" si="57"/>
        <v>3.7422263611939131</v>
      </c>
      <c r="U72" s="155">
        <f t="shared" si="57"/>
        <v>4.3228101804553027</v>
      </c>
      <c r="V72" s="177">
        <f>(V67/V69)</f>
        <v>10.649164333848242</v>
      </c>
      <c r="W72" s="177">
        <f>(W67/W69)</f>
        <v>5.7830814136413782</v>
      </c>
      <c r="X72" s="178">
        <f>(X67/X69)</f>
        <v>11.876410693875469</v>
      </c>
      <c r="Y72" s="275" t="s">
        <v>118</v>
      </c>
    </row>
    <row r="73" spans="1:25">
      <c r="A73" s="143"/>
      <c r="N73" s="175" t="s">
        <v>48</v>
      </c>
      <c r="O73" s="137"/>
      <c r="P73" s="176">
        <f>C63/C14</f>
        <v>14.282166138657916</v>
      </c>
      <c r="Q73" s="155">
        <f>D63/D14</f>
        <v>8.1298162346583442</v>
      </c>
      <c r="R73" s="155">
        <f>E63/E14</f>
        <v>5.6932715264171101</v>
      </c>
      <c r="S73" s="155">
        <f>F63/F14</f>
        <v>8.3447509300689102</v>
      </c>
      <c r="T73" s="155">
        <f>G63/G14</f>
        <v>13.179470474522844</v>
      </c>
      <c r="U73" s="155">
        <f>H63/H14</f>
        <v>14.846731918736634</v>
      </c>
      <c r="V73" s="155">
        <f>I63/I14</f>
        <v>26.586198076484035</v>
      </c>
      <c r="W73" s="155">
        <f>J63/J14</f>
        <v>23.84523212229055</v>
      </c>
      <c r="X73" s="274">
        <f>K63/K14</f>
        <v>30.108480425308077</v>
      </c>
      <c r="Y73" s="275" t="s">
        <v>118</v>
      </c>
    </row>
    <row r="74" spans="1:25">
      <c r="A74" s="143"/>
      <c r="N74" s="181" t="s">
        <v>49</v>
      </c>
      <c r="O74" s="182"/>
      <c r="P74" s="183">
        <f>(C29/(P7+P8))</f>
        <v>0.2114628943527557</v>
      </c>
      <c r="Q74" s="183">
        <f>(D29/(Q7+Q8))</f>
        <v>0.19320512829664838</v>
      </c>
      <c r="R74" s="183">
        <f>(E29/(R7+R8))</f>
        <v>7.30680089832033E-2</v>
      </c>
      <c r="S74" s="183">
        <f>(F29/(S7+S8))</f>
        <v>5.0136387298282327E-2</v>
      </c>
      <c r="T74" s="183">
        <f>(G29/(T7+T8))</f>
        <v>-0.26931795285109805</v>
      </c>
      <c r="U74" s="183">
        <f>(H29/(U7+U8))</f>
        <v>3.2804559510332988E-2</v>
      </c>
      <c r="V74" s="183">
        <f>(I29/(V7+V8))</f>
        <v>-1.4005388643180546E-2</v>
      </c>
      <c r="W74" s="183">
        <f>(J29/(W7+W8))</f>
        <v>0.12788860284326503</v>
      </c>
      <c r="X74" s="184">
        <f>(K29/(X7+X8))</f>
        <v>0.3098085057294469</v>
      </c>
      <c r="Y74" s="275" t="s">
        <v>118</v>
      </c>
    </row>
    <row r="75" spans="1:25">
      <c r="A75" s="143"/>
      <c r="N75" s="181" t="s">
        <v>50</v>
      </c>
      <c r="O75" s="182"/>
      <c r="P75" s="183">
        <v>0.1014</v>
      </c>
      <c r="Q75" s="183">
        <v>0.11169999999999999</v>
      </c>
      <c r="R75" s="183">
        <v>0.1193</v>
      </c>
      <c r="S75" s="183">
        <f>(F23+F19)/S12</f>
        <v>8.7644851245470126E-2</v>
      </c>
      <c r="T75" s="183">
        <f>(G23+G19)/T12</f>
        <v>-5.4877854639698201E-2</v>
      </c>
      <c r="U75" s="183">
        <f>(H23+H19)/U12</f>
        <v>8.4564005672446249E-2</v>
      </c>
      <c r="V75" s="183">
        <f>(I23+I19)/V12</f>
        <v>0.110131508041784</v>
      </c>
      <c r="W75" s="184">
        <f>(J23+J19)/W12</f>
        <v>0.15953124768109686</v>
      </c>
      <c r="X75" s="184">
        <f>(K23+K19)/X12</f>
        <v>0.29470750469169038</v>
      </c>
      <c r="Y75" s="275" t="s">
        <v>118</v>
      </c>
    </row>
    <row r="76" spans="1:25">
      <c r="A76" s="143"/>
      <c r="N76" s="175" t="s">
        <v>51</v>
      </c>
      <c r="O76" s="137"/>
      <c r="P76" s="185">
        <f t="shared" ref="P76:W76" si="58">(P11/(P7+P8))</f>
        <v>1.0694181758513184</v>
      </c>
      <c r="Q76" s="155">
        <f t="shared" si="58"/>
        <v>1.2908855682131108</v>
      </c>
      <c r="R76" s="155">
        <f t="shared" si="58"/>
        <v>1.1833008749481184</v>
      </c>
      <c r="S76" s="155">
        <f t="shared" si="58"/>
        <v>1.3258885996876628</v>
      </c>
      <c r="T76" s="155">
        <f t="shared" si="58"/>
        <v>1.3731563570421117</v>
      </c>
      <c r="U76" s="155">
        <f t="shared" si="58"/>
        <v>1.2876843234978461</v>
      </c>
      <c r="V76" s="177">
        <f t="shared" si="58"/>
        <v>0.96219815972751777</v>
      </c>
      <c r="W76" s="178">
        <f t="shared" si="58"/>
        <v>0.36722255335878151</v>
      </c>
      <c r="X76" s="178">
        <f>(X11/(X7+X8))</f>
        <v>0.37527339844651231</v>
      </c>
      <c r="Y76" s="275" t="s">
        <v>118</v>
      </c>
    </row>
    <row r="77" spans="1:25">
      <c r="A77" s="143"/>
      <c r="N77" s="175" t="s">
        <v>52</v>
      </c>
      <c r="O77" s="137"/>
      <c r="P77" s="179">
        <f t="shared" ref="P77:W77" si="59">(P11-P37-P36)/(P7+P8)</f>
        <v>0.94423573507440139</v>
      </c>
      <c r="Q77" s="155">
        <f t="shared" si="59"/>
        <v>1.1712667507315131</v>
      </c>
      <c r="R77" s="155">
        <f t="shared" si="59"/>
        <v>1.0819455067127353</v>
      </c>
      <c r="S77" s="155">
        <f t="shared" si="59"/>
        <v>1.0766184279021345</v>
      </c>
      <c r="T77" s="155">
        <f t="shared" si="59"/>
        <v>1.0839663509973807</v>
      </c>
      <c r="U77" s="155">
        <f t="shared" si="59"/>
        <v>1.0808989645050158</v>
      </c>
      <c r="V77" s="177">
        <f t="shared" si="59"/>
        <v>0.59831731991256165</v>
      </c>
      <c r="W77" s="178">
        <f t="shared" si="59"/>
        <v>3.8405640876060507E-2</v>
      </c>
      <c r="X77" s="178">
        <f>(X11-X37-X36)/(X7+X8)</f>
        <v>5.7832807813580989E-3</v>
      </c>
      <c r="Y77" s="275" t="s">
        <v>118</v>
      </c>
    </row>
    <row r="78" spans="1:25">
      <c r="A78" s="143"/>
      <c r="N78" s="175" t="s">
        <v>53</v>
      </c>
      <c r="O78" s="137"/>
      <c r="P78" s="186">
        <f t="shared" ref="P78" si="60">(P70/P67)</f>
        <v>3.4243643523670922E-3</v>
      </c>
      <c r="Q78" s="186">
        <f t="shared" ref="Q78:U78" si="61">(Q70/Q67)</f>
        <v>2.3057412958266085E-3</v>
      </c>
      <c r="R78" s="186">
        <f t="shared" si="61"/>
        <v>1.6666666666666666E-2</v>
      </c>
      <c r="S78" s="186">
        <f t="shared" si="61"/>
        <v>5.2742616033755272E-3</v>
      </c>
      <c r="T78" s="186">
        <f t="shared" si="61"/>
        <v>4.2201215395003379E-3</v>
      </c>
      <c r="U78" s="186">
        <f t="shared" si="61"/>
        <v>5.6581087771412405E-3</v>
      </c>
      <c r="V78" s="186">
        <f t="shared" ref="V78" si="62">(V70/V67)</f>
        <v>1.7861927301955881E-3</v>
      </c>
      <c r="W78" s="187">
        <f>(W70/W67)</f>
        <v>3.7655328228944395E-3</v>
      </c>
      <c r="X78" s="187">
        <f>(X70/X67)</f>
        <v>1.8082201688877637E-3</v>
      </c>
      <c r="Y78" s="275" t="s">
        <v>118</v>
      </c>
    </row>
    <row r="79" spans="1:25">
      <c r="A79" s="143"/>
      <c r="N79" s="175" t="s">
        <v>54</v>
      </c>
      <c r="O79" s="137"/>
      <c r="P79" s="188">
        <f>(AVERAGE(P35)/C4)*365</f>
        <v>97.417069563733591</v>
      </c>
      <c r="Q79" s="189">
        <f>(AVERAGE(Q35)/D4)*365</f>
        <v>107.60397252764972</v>
      </c>
      <c r="R79" s="189">
        <f>(AVERAGE(R35)/E4)*365</f>
        <v>102.85918247865244</v>
      </c>
      <c r="S79" s="189">
        <f>(AVERAGE(S35)/F4)*365</f>
        <v>96.502654661561238</v>
      </c>
      <c r="T79" s="189">
        <f>(AVERAGE(T35)/G4)*365</f>
        <v>116.9503166910275</v>
      </c>
      <c r="U79" s="189">
        <f>(AVERAGE(U35)/H4)*365</f>
        <v>130.89703446161249</v>
      </c>
      <c r="V79" s="189">
        <f>(AVERAGE(V35)/I4)*365</f>
        <v>76.28353440530978</v>
      </c>
      <c r="W79" s="190">
        <f>(AVERAGE(W35)/J4)*365</f>
        <v>151.14440351282457</v>
      </c>
      <c r="X79" s="190">
        <f t="shared" ref="X79" si="63">(AVERAGE(X35)/K4)*365</f>
        <v>114.80416143181468</v>
      </c>
      <c r="Y79" s="275" t="s">
        <v>118</v>
      </c>
    </row>
    <row r="80" spans="1:25">
      <c r="A80" s="143"/>
      <c r="N80" s="175" t="s">
        <v>55</v>
      </c>
      <c r="O80" s="137"/>
      <c r="P80" s="188">
        <f>AVERAGE(P45)/(C7)*365</f>
        <v>70.507951662448747</v>
      </c>
      <c r="Q80" s="189">
        <f>AVERAGE(P45:Q45)/(D7)*365</f>
        <v>59.055930202030837</v>
      </c>
      <c r="R80" s="189">
        <f>AVERAGE(Q45:R45)/(E7)*365</f>
        <v>74.98981210983564</v>
      </c>
      <c r="S80" s="189">
        <f>AVERAGE(R45:S45)/(F7)*365</f>
        <v>71.860570628617424</v>
      </c>
      <c r="T80" s="189">
        <f>AVERAGE(S45:T45)/(G7)*365</f>
        <v>57.590283081832567</v>
      </c>
      <c r="U80" s="189">
        <f>AVERAGE(T45:U45)/(H7)*365</f>
        <v>70.058050687325817</v>
      </c>
      <c r="V80" s="189">
        <f>AVERAGE(U45:V45)/(I7)*365</f>
        <v>78.660599499289546</v>
      </c>
      <c r="W80" s="190">
        <f>AVERAGE(V45:W45)/(J7)*365</f>
        <v>125.83211194563937</v>
      </c>
      <c r="X80" s="190">
        <f t="shared" ref="X80" si="64">AVERAGE(W45:X45)/(K7)*365</f>
        <v>105.61588009876347</v>
      </c>
      <c r="Y80" s="275" t="s">
        <v>118</v>
      </c>
    </row>
    <row r="81" spans="1:25">
      <c r="A81" s="143"/>
      <c r="N81" s="175" t="s">
        <v>56</v>
      </c>
      <c r="O81" s="137"/>
      <c r="P81" s="188">
        <f>(AVERAGE(O32:P32)/(C7))*365</f>
        <v>90.925203569164751</v>
      </c>
      <c r="Q81" s="189">
        <f>(AVERAGE(P32:Q32)/(D7))*365</f>
        <v>92.910865906659524</v>
      </c>
      <c r="R81" s="189">
        <f>(AVERAGE(Q32:R32)/(E7))*365</f>
        <v>109.85960307105317</v>
      </c>
      <c r="S81" s="189">
        <f>(AVERAGE(Q32:S32)/(F7))*365</f>
        <v>111.46795903747839</v>
      </c>
      <c r="T81" s="189">
        <f>(AVERAGE(R32:T32)/(G7))*365</f>
        <v>112.89259156259361</v>
      </c>
      <c r="U81" s="189">
        <f>(AVERAGE(T32:U32)/(H7))*365</f>
        <v>104.72197257782608</v>
      </c>
      <c r="V81" s="189">
        <f>(AVERAGE(U32:V32)/(I7))*365</f>
        <v>105.04284447725907</v>
      </c>
      <c r="W81" s="190">
        <f>(AVERAGE(V32:W32)/(J7))*365</f>
        <v>189.16945506878491</v>
      </c>
      <c r="X81" s="190">
        <f>(AVERAGE(W32:X32)/(K7))*365</f>
        <v>179.44354378898478</v>
      </c>
      <c r="Y81" s="275" t="s">
        <v>118</v>
      </c>
    </row>
    <row r="82" spans="1:25">
      <c r="A82" s="143"/>
      <c r="N82" s="175" t="s">
        <v>70</v>
      </c>
      <c r="O82" s="137"/>
      <c r="P82" s="188">
        <f t="shared" ref="P82" si="65">(P81+P79-P80)</f>
        <v>117.83432147044961</v>
      </c>
      <c r="Q82" s="189">
        <f t="shared" ref="Q82:S82" si="66">(Q81+Q79-Q80)</f>
        <v>141.45890823227842</v>
      </c>
      <c r="R82" s="189">
        <f t="shared" si="66"/>
        <v>137.72897343986997</v>
      </c>
      <c r="S82" s="189">
        <f t="shared" si="66"/>
        <v>136.11004307042219</v>
      </c>
      <c r="T82" s="189">
        <f>(T81+T79-T80)</f>
        <v>172.25262517178851</v>
      </c>
      <c r="U82" s="189">
        <f>(U81+U79-U80)</f>
        <v>165.56095635211275</v>
      </c>
      <c r="V82" s="189">
        <f>(V81+V79-V80)</f>
        <v>102.66577938327931</v>
      </c>
      <c r="W82" s="190">
        <f>(W81+W79-W80)</f>
        <v>214.48174663597007</v>
      </c>
      <c r="X82" s="190">
        <f>(X81+X79-X80)</f>
        <v>188.63182512203599</v>
      </c>
      <c r="Y82" s="275" t="s">
        <v>118</v>
      </c>
    </row>
    <row r="83" spans="1:25">
      <c r="A83" s="143"/>
      <c r="N83" s="175" t="s">
        <v>57</v>
      </c>
      <c r="O83" s="137"/>
      <c r="P83" s="179">
        <v>100</v>
      </c>
      <c r="Q83" s="191">
        <f>+Q54/D4*365</f>
        <v>112.90814330397616</v>
      </c>
      <c r="R83" s="191">
        <f>+R54/E4*365</f>
        <v>76.302903051734873</v>
      </c>
      <c r="S83" s="191">
        <f>+S54/F4*365</f>
        <v>115.5624212470793</v>
      </c>
      <c r="T83" s="191">
        <f>+T54/G4*365</f>
        <v>93.215067825730173</v>
      </c>
      <c r="U83" s="191">
        <f>+U54/H4*365</f>
        <v>78.072681747707676</v>
      </c>
      <c r="V83" s="191">
        <f>+V54/I4*365</f>
        <v>66.637378302561402</v>
      </c>
      <c r="W83" s="192">
        <f>+W54/J4*365</f>
        <v>135.68466577238507</v>
      </c>
      <c r="X83" s="192">
        <f>+X54/K4*365</f>
        <v>104.09148159693686</v>
      </c>
      <c r="Y83" s="275" t="s">
        <v>118</v>
      </c>
    </row>
    <row r="84" spans="1:25">
      <c r="N84" s="135" t="s">
        <v>72</v>
      </c>
      <c r="O84" s="136"/>
      <c r="P84" s="183">
        <f>C19/P11</f>
        <v>7.431619410638865E-2</v>
      </c>
      <c r="Q84" s="183">
        <f>D19/Q11</f>
        <v>0.11098421599904952</v>
      </c>
      <c r="R84" s="183">
        <f>E19/R11</f>
        <v>0.13529503576579263</v>
      </c>
      <c r="S84" s="183">
        <f>F19/S11</f>
        <v>9.2722824055606681E-2</v>
      </c>
      <c r="T84" s="183">
        <f>G19/T11</f>
        <v>9.665479330445087E-2</v>
      </c>
      <c r="U84" s="183">
        <f>H19/U11</f>
        <v>0.10404892659108465</v>
      </c>
      <c r="V84" s="183">
        <f>I19/V11</f>
        <v>0.18296754968986759</v>
      </c>
      <c r="W84" s="184">
        <f>J19/W11</f>
        <v>0.1346843206730072</v>
      </c>
      <c r="X84" s="184">
        <f>K19/X11</f>
        <v>0.13863204144534069</v>
      </c>
      <c r="Y84" s="275" t="s">
        <v>118</v>
      </c>
    </row>
    <row r="85" spans="1:25">
      <c r="N85" s="135" t="s">
        <v>134</v>
      </c>
      <c r="O85" s="136"/>
      <c r="P85" s="193">
        <f>(C14-C18)/C19</f>
        <v>2.4022819885900502</v>
      </c>
      <c r="Q85" s="153">
        <f>(D14-D18)/D19</f>
        <v>2.1761690673233871</v>
      </c>
      <c r="R85" s="153">
        <f>(E14-E18)/E19</f>
        <v>1.5382442416340703</v>
      </c>
      <c r="S85" s="153">
        <f>(F14-F18)/F19</f>
        <v>1.4982554791504368</v>
      </c>
      <c r="T85" s="153">
        <f>(G14-G18)/G19</f>
        <v>1.1784575679368463</v>
      </c>
      <c r="U85" s="153">
        <f>(H14-H18)/H19</f>
        <v>1.1844550109729342</v>
      </c>
      <c r="V85" s="194">
        <f>(I14-I18)/I19</f>
        <v>1.171609251826397</v>
      </c>
      <c r="W85" s="195">
        <f>(J14-J18)/J19</f>
        <v>4.0718461538461481</v>
      </c>
      <c r="X85" s="238">
        <f>(K14-K18)/K19</f>
        <v>6.8553689687795609</v>
      </c>
      <c r="Y85" s="277">
        <f>(L14-L18)/L19</f>
        <v>4.0880488909008585</v>
      </c>
    </row>
    <row r="86" spans="1:25">
      <c r="N86" s="135" t="s">
        <v>131</v>
      </c>
      <c r="O86" s="136"/>
      <c r="P86" s="188">
        <f>C4/P87</f>
        <v>4.7865179245989333</v>
      </c>
      <c r="Q86" s="196">
        <f>D4/Q87</f>
        <v>4.4199305821911823</v>
      </c>
      <c r="R86" s="196">
        <f>E4/R87</f>
        <v>3.3137488977840412</v>
      </c>
      <c r="S86" s="196">
        <f>F4/S87</f>
        <v>3.0310659883419113</v>
      </c>
      <c r="T86" s="196">
        <f>G4/T87</f>
        <v>3.1031272380042969</v>
      </c>
      <c r="U86" s="196">
        <f>H4/U87</f>
        <v>3.8044888705688371</v>
      </c>
      <c r="V86" s="196">
        <f>I4/V87</f>
        <v>4.3912964714880944</v>
      </c>
      <c r="W86" s="197">
        <f>J4/W87</f>
        <v>3.292923137146746</v>
      </c>
      <c r="X86" s="239">
        <f>K4/X87</f>
        <v>6.8122108695185872</v>
      </c>
      <c r="Y86" s="275" t="s">
        <v>118</v>
      </c>
    </row>
    <row r="87" spans="1:25" ht="17.100000000000001" customHeight="1" thickBot="1">
      <c r="N87" s="198" t="s">
        <v>154</v>
      </c>
      <c r="O87" s="199"/>
      <c r="P87" s="200">
        <v>1469.21</v>
      </c>
      <c r="Q87" s="201">
        <f t="shared" ref="Q87:U87" si="67">Q15+Q20+Q16+Q17+Q21</f>
        <v>2104.9878107785999</v>
      </c>
      <c r="R87" s="201">
        <f t="shared" si="67"/>
        <v>2665.4524143053</v>
      </c>
      <c r="S87" s="201">
        <f t="shared" si="67"/>
        <v>2696.84</v>
      </c>
      <c r="T87" s="201">
        <f t="shared" si="67"/>
        <v>2513.4</v>
      </c>
      <c r="U87" s="201">
        <f t="shared" si="67"/>
        <v>2426</v>
      </c>
      <c r="V87" s="201">
        <f t="shared" ref="V87" si="68">V15+V20+V16+V17+V21</f>
        <v>2484.0499999999997</v>
      </c>
      <c r="W87" s="202">
        <f t="shared" ref="W87" si="69">W15+W20+W16+W17+W21</f>
        <v>2248.0300000000002</v>
      </c>
      <c r="X87" s="202">
        <f>X15+X20+X16+X17+X21</f>
        <v>1398.59</v>
      </c>
      <c r="Y87" s="276" t="s">
        <v>118</v>
      </c>
    </row>
    <row r="88" spans="1:25" ht="15.6">
      <c r="N88" s="269"/>
      <c r="O88" s="269"/>
      <c r="P88" s="269"/>
      <c r="Q88" s="269"/>
      <c r="R88" s="269"/>
      <c r="S88" s="269"/>
      <c r="T88" s="269"/>
      <c r="U88" s="269"/>
      <c r="V88" s="269"/>
    </row>
    <row r="89" spans="1:25">
      <c r="R89" s="144"/>
      <c r="S89" s="144"/>
      <c r="T89" s="144"/>
      <c r="U89" s="144"/>
    </row>
    <row r="90" spans="1:25">
      <c r="R90" s="144"/>
      <c r="S90" s="144"/>
      <c r="T90" s="144"/>
      <c r="U90" s="144"/>
    </row>
    <row r="91" spans="1:25">
      <c r="R91" s="144"/>
      <c r="S91" s="144"/>
      <c r="T91" s="144"/>
      <c r="U91" s="144"/>
    </row>
    <row r="92" spans="1:25">
      <c r="R92" s="144"/>
      <c r="S92" s="144"/>
      <c r="T92" s="144"/>
      <c r="U92" s="144"/>
    </row>
    <row r="93" spans="1:25">
      <c r="R93" s="144"/>
      <c r="S93" s="144"/>
      <c r="T93" s="144"/>
      <c r="U93" s="144"/>
    </row>
    <row r="94" spans="1:25">
      <c r="R94" s="144"/>
      <c r="S94" s="144"/>
      <c r="T94" s="144"/>
      <c r="U94" s="144"/>
    </row>
    <row r="100" spans="17:17">
      <c r="Q100" s="144"/>
    </row>
    <row r="101" spans="17:17">
      <c r="Q101" s="144"/>
    </row>
    <row r="102" spans="17:17">
      <c r="Q102" s="144"/>
    </row>
    <row r="103" spans="17:17">
      <c r="Q103" s="144"/>
    </row>
  </sheetData>
  <mergeCells count="5">
    <mergeCell ref="N88:V88"/>
    <mergeCell ref="N2:X2"/>
    <mergeCell ref="A1:X1"/>
    <mergeCell ref="A2:L2"/>
    <mergeCell ref="N65:Y65"/>
  </mergeCells>
  <pageMargins left="0.25" right="0.25" top="0.75" bottom="0.75" header="0.3" footer="0.3"/>
  <pageSetup paperSize="9" scale="44" orientation="portrait" horizontalDpi="1200" verticalDpi="1200" r:id="rId1"/>
  <ignoredErrors>
    <ignoredError sqref="Q80:U81 F49 T14 V80:V81 W80:W81 X80:X81" formulaRange="1"/>
    <ignoredError sqref="E32 H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7"/>
  <sheetViews>
    <sheetView view="pageBreakPreview" topLeftCell="A19" zoomScale="90" zoomScaleSheetLayoutView="90" workbookViewId="0">
      <selection activeCell="F37" sqref="F37"/>
    </sheetView>
  </sheetViews>
  <sheetFormatPr defaultColWidth="9.109375" defaultRowHeight="11.4"/>
  <cols>
    <col min="1" max="1" width="45.44140625" style="2" customWidth="1"/>
    <col min="2" max="2" width="8.44140625" style="2" hidden="1" customWidth="1"/>
    <col min="3" max="3" width="11.109375" style="2" hidden="1" customWidth="1"/>
    <col min="4" max="4" width="13.109375" style="2" bestFit="1" customWidth="1"/>
    <col min="5" max="5" width="13.109375" style="2" customWidth="1"/>
    <col min="6" max="6" width="13.44140625" style="2" customWidth="1"/>
    <col min="7" max="7" width="10.44140625" style="2" customWidth="1"/>
    <col min="8" max="8" width="35.88671875" style="2" customWidth="1"/>
    <col min="9" max="9" width="13.88671875" style="2" hidden="1" customWidth="1"/>
    <col min="10" max="10" width="13.88671875" style="49" hidden="1" customWidth="1"/>
    <col min="11" max="11" width="10.88671875" style="49" bestFit="1" customWidth="1"/>
    <col min="12" max="12" width="10.44140625" style="3" bestFit="1" customWidth="1"/>
    <col min="13" max="13" width="11.109375" style="49" customWidth="1"/>
    <col min="14" max="14" width="9.109375" style="2"/>
    <col min="15" max="15" width="9.88671875" style="2" bestFit="1" customWidth="1"/>
    <col min="16" max="16384" width="9.109375" style="2"/>
  </cols>
  <sheetData>
    <row r="1" spans="1:15" ht="13.8">
      <c r="A1" s="245" t="s">
        <v>108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5" ht="12">
      <c r="A2" s="247" t="s">
        <v>76</v>
      </c>
      <c r="B2" s="248"/>
      <c r="C2" s="248"/>
      <c r="D2" s="248"/>
      <c r="E2" s="248"/>
      <c r="F2" s="249"/>
      <c r="G2" s="18"/>
      <c r="H2" s="250" t="s">
        <v>75</v>
      </c>
      <c r="I2" s="251"/>
      <c r="J2" s="251"/>
      <c r="K2" s="251"/>
      <c r="L2" s="251"/>
      <c r="M2" s="251"/>
    </row>
    <row r="3" spans="1:15" ht="12">
      <c r="A3" s="19" t="s">
        <v>0</v>
      </c>
      <c r="B3" s="16" t="s">
        <v>27</v>
      </c>
      <c r="C3" s="16" t="s">
        <v>28</v>
      </c>
      <c r="D3" s="16" t="s">
        <v>29</v>
      </c>
      <c r="E3" s="16" t="s">
        <v>71</v>
      </c>
      <c r="F3" s="16" t="s">
        <v>77</v>
      </c>
      <c r="G3" s="18"/>
      <c r="H3" s="20" t="s">
        <v>0</v>
      </c>
      <c r="I3" s="4" t="s">
        <v>27</v>
      </c>
      <c r="J3" s="68" t="s">
        <v>28</v>
      </c>
      <c r="K3" s="68" t="s">
        <v>29</v>
      </c>
      <c r="L3" s="69" t="s">
        <v>71</v>
      </c>
      <c r="M3" s="68" t="s">
        <v>77</v>
      </c>
    </row>
    <row r="4" spans="1:15" ht="12">
      <c r="A4" s="20" t="s">
        <v>78</v>
      </c>
      <c r="B4" s="21">
        <v>6912.23</v>
      </c>
      <c r="C4" s="21">
        <v>31.567</v>
      </c>
      <c r="D4" s="21">
        <v>33.67</v>
      </c>
      <c r="E4" s="8">
        <v>0</v>
      </c>
      <c r="F4" s="8">
        <v>15.002000000000001</v>
      </c>
      <c r="G4" s="22"/>
      <c r="H4" s="5" t="s">
        <v>79</v>
      </c>
      <c r="I4" s="10">
        <v>190.001</v>
      </c>
      <c r="J4" s="23">
        <v>35.799999999999997</v>
      </c>
      <c r="K4" s="23">
        <v>35.799999999999997</v>
      </c>
      <c r="L4" s="23">
        <f>175300000/1000000</f>
        <v>175.3</v>
      </c>
      <c r="M4" s="23">
        <f>175300000/1000000</f>
        <v>175.3</v>
      </c>
    </row>
    <row r="5" spans="1:15">
      <c r="A5" s="25" t="s">
        <v>1</v>
      </c>
      <c r="B5" s="11"/>
      <c r="C5" s="11"/>
      <c r="D5" s="11">
        <f>(D4/C4-1)</f>
        <v>6.6620204644090464E-2</v>
      </c>
      <c r="E5" s="11">
        <f>(E4/D4-1)</f>
        <v>-1</v>
      </c>
      <c r="F5" s="11"/>
      <c r="G5" s="22"/>
      <c r="H5" s="5" t="s">
        <v>80</v>
      </c>
      <c r="I5" s="10">
        <f>1578.376+28.845</f>
        <v>1607.221</v>
      </c>
      <c r="J5" s="23">
        <v>5.9802109999999997</v>
      </c>
      <c r="K5" s="23">
        <v>7.2452769999999997</v>
      </c>
      <c r="L5" s="23">
        <v>419.87315799999999</v>
      </c>
      <c r="M5" s="23">
        <v>423.51691</v>
      </c>
    </row>
    <row r="6" spans="1:15" ht="12">
      <c r="A6" s="25" t="s">
        <v>81</v>
      </c>
      <c r="B6" s="11"/>
      <c r="C6" s="11"/>
      <c r="D6" s="11"/>
      <c r="E6" s="11"/>
      <c r="F6" s="11">
        <f>+((C4/F4)^(1/3)-1)</f>
        <v>0.28142949599527056</v>
      </c>
      <c r="H6" s="24" t="s">
        <v>30</v>
      </c>
      <c r="I6" s="9">
        <f>(I4+I5)</f>
        <v>1797.222</v>
      </c>
      <c r="J6" s="9">
        <f>(J4+J5)</f>
        <v>41.780210999999994</v>
      </c>
      <c r="K6" s="9">
        <f>(K4+K5)</f>
        <v>43.045276999999999</v>
      </c>
      <c r="L6" s="9">
        <f>(L4+L5)</f>
        <v>595.17315800000006</v>
      </c>
      <c r="M6" s="9">
        <f>(M4+M5)</f>
        <v>598.81691000000001</v>
      </c>
    </row>
    <row r="7" spans="1:15" ht="12">
      <c r="A7" s="24" t="s">
        <v>2</v>
      </c>
      <c r="B7" s="9">
        <f>SUM(B8:B12)</f>
        <v>6031.4109999999991</v>
      </c>
      <c r="C7" s="9">
        <f>SUM(C8:C12)</f>
        <v>31.872999999999998</v>
      </c>
      <c r="D7" s="9">
        <f>SUM(D8:D12)</f>
        <v>34.344000000000001</v>
      </c>
      <c r="E7" s="9">
        <f>SUM(E8:E12)</f>
        <v>4.0910000000000002</v>
      </c>
      <c r="F7" s="9">
        <f>SUM(F8:F12)</f>
        <v>18.211999999999996</v>
      </c>
      <c r="H7" s="5" t="s">
        <v>31</v>
      </c>
      <c r="I7" s="10"/>
      <c r="J7" s="23">
        <v>0</v>
      </c>
      <c r="K7" s="23">
        <v>0</v>
      </c>
      <c r="L7" s="23"/>
      <c r="M7" s="23"/>
      <c r="O7" s="28"/>
    </row>
    <row r="8" spans="1:15">
      <c r="A8" s="5" t="s">
        <v>82</v>
      </c>
      <c r="B8" s="10">
        <v>4379.5349999999999</v>
      </c>
      <c r="C8" s="10">
        <v>0</v>
      </c>
      <c r="D8" s="10">
        <v>0</v>
      </c>
      <c r="E8" s="23">
        <v>0</v>
      </c>
      <c r="F8" s="23">
        <v>0</v>
      </c>
      <c r="H8" s="5" t="s">
        <v>32</v>
      </c>
      <c r="I8" s="10">
        <v>4955.598</v>
      </c>
      <c r="J8" s="23">
        <v>0</v>
      </c>
      <c r="K8" s="23">
        <v>0</v>
      </c>
      <c r="L8" s="23">
        <v>0</v>
      </c>
      <c r="M8" s="23">
        <v>0</v>
      </c>
    </row>
    <row r="9" spans="1:15">
      <c r="A9" s="5" t="s">
        <v>109</v>
      </c>
      <c r="B9" s="10">
        <v>72.775000000000006</v>
      </c>
      <c r="C9" s="10">
        <v>16.326000000000001</v>
      </c>
      <c r="D9" s="10">
        <v>27.135000000000002</v>
      </c>
      <c r="E9" s="23">
        <v>0</v>
      </c>
      <c r="F9" s="23">
        <v>14.773999999999999</v>
      </c>
      <c r="H9" s="5" t="s">
        <v>33</v>
      </c>
      <c r="I9" s="10">
        <v>1652.4570000000001</v>
      </c>
      <c r="J9" s="23">
        <v>0</v>
      </c>
      <c r="K9" s="23">
        <v>0</v>
      </c>
      <c r="L9" s="23">
        <v>0</v>
      </c>
      <c r="M9" s="23">
        <v>0</v>
      </c>
      <c r="N9" s="28"/>
    </row>
    <row r="10" spans="1:15" ht="12">
      <c r="A10" s="5" t="s">
        <v>116</v>
      </c>
      <c r="B10" s="10"/>
      <c r="C10" s="10">
        <v>12.159000000000001</v>
      </c>
      <c r="D10" s="10">
        <v>4.9859999999999998</v>
      </c>
      <c r="E10" s="23">
        <v>0</v>
      </c>
      <c r="F10" s="23">
        <v>0</v>
      </c>
      <c r="H10" s="24" t="s">
        <v>34</v>
      </c>
      <c r="I10" s="9">
        <f>(I8+I9)</f>
        <v>6608.0550000000003</v>
      </c>
      <c r="J10" s="9">
        <f>(J8+J9)</f>
        <v>0</v>
      </c>
      <c r="K10" s="9">
        <f>(K8+K9)</f>
        <v>0</v>
      </c>
      <c r="L10" s="9">
        <f>(L8+L9)</f>
        <v>0</v>
      </c>
      <c r="M10" s="9">
        <f>(M8+M9)</f>
        <v>0</v>
      </c>
    </row>
    <row r="11" spans="1:15" ht="12">
      <c r="A11" s="5" t="s">
        <v>58</v>
      </c>
      <c r="B11" s="10">
        <v>640.47699999999998</v>
      </c>
      <c r="C11" s="10">
        <v>0.81399999999999995</v>
      </c>
      <c r="D11" s="10">
        <v>0.93400000000000005</v>
      </c>
      <c r="E11" s="23">
        <v>1.175</v>
      </c>
      <c r="F11" s="23">
        <v>1.3640000000000001</v>
      </c>
      <c r="H11" s="24" t="s">
        <v>35</v>
      </c>
      <c r="I11" s="9">
        <f>(I6+I8+I7+I46+I43+I44)</f>
        <v>7029.6509999999998</v>
      </c>
      <c r="J11" s="9">
        <f>(J6+J8+J7+J46+J43+J44)</f>
        <v>41.782278999999996</v>
      </c>
      <c r="K11" s="9">
        <f>(K6+K8+K7+K46+K43+K44+K45)</f>
        <v>43.045451999999997</v>
      </c>
      <c r="L11" s="9">
        <f>(L6+L8+L7+L46+L43+L44+L45)</f>
        <v>595.17315800000006</v>
      </c>
      <c r="M11" s="9">
        <f>(M6+M8+M7+M46+M43+M44+M45)</f>
        <v>598.81696899999997</v>
      </c>
    </row>
    <row r="12" spans="1:15" ht="12">
      <c r="A12" s="5" t="s">
        <v>60</v>
      </c>
      <c r="B12" s="10">
        <v>938.62400000000002</v>
      </c>
      <c r="C12" s="10">
        <v>2.5739999999999998</v>
      </c>
      <c r="D12" s="10">
        <v>1.2889999999999999</v>
      </c>
      <c r="E12" s="23">
        <v>2.9159999999999999</v>
      </c>
      <c r="F12" s="23">
        <v>2.0739999999999998</v>
      </c>
      <c r="H12" s="24" t="s">
        <v>35</v>
      </c>
      <c r="I12" s="9">
        <f>I48-I36-I9</f>
        <v>2958.2479999999996</v>
      </c>
      <c r="J12" s="9">
        <f>J48-J36-J9</f>
        <v>41.782279000000003</v>
      </c>
      <c r="K12" s="9">
        <f>K48-K36-K9</f>
        <v>43.068157999999997</v>
      </c>
      <c r="L12" s="9">
        <f>L48-L36-L9</f>
        <v>595.17321800000002</v>
      </c>
      <c r="M12" s="9">
        <f>M48-M36-M9</f>
        <v>599.01720819999991</v>
      </c>
      <c r="O12" s="3"/>
    </row>
    <row r="13" spans="1:15" ht="12">
      <c r="A13" s="24" t="s">
        <v>3</v>
      </c>
      <c r="B13" s="9" t="e">
        <f>(#REF!-B7)</f>
        <v>#REF!</v>
      </c>
      <c r="C13" s="9">
        <f>(C4-C7)</f>
        <v>-0.30599999999999739</v>
      </c>
      <c r="D13" s="9">
        <f>(D4-D7)</f>
        <v>-0.67399999999999949</v>
      </c>
      <c r="E13" s="9">
        <f>(E4-E7)</f>
        <v>-4.0910000000000002</v>
      </c>
      <c r="F13" s="9">
        <f>(F4-F7)</f>
        <v>-3.2099999999999955</v>
      </c>
      <c r="H13" s="5"/>
      <c r="I13" s="23"/>
      <c r="J13" s="23"/>
      <c r="K13" s="23"/>
      <c r="L13" s="23"/>
      <c r="M13" s="23"/>
      <c r="N13" s="3"/>
    </row>
    <row r="14" spans="1:15">
      <c r="A14" s="25" t="s">
        <v>1</v>
      </c>
      <c r="B14" s="11"/>
      <c r="C14" s="11"/>
      <c r="D14" s="11">
        <f>(D13/C13-1)</f>
        <v>1.2026143790849844</v>
      </c>
      <c r="E14" s="11">
        <f>(E13/D13-1)</f>
        <v>5.0697329376854645</v>
      </c>
      <c r="F14" s="11">
        <f>(F13/E13-1)</f>
        <v>-0.21535076998289038</v>
      </c>
      <c r="I14" s="26"/>
      <c r="J14" s="70"/>
      <c r="K14" s="70"/>
      <c r="L14" s="71"/>
      <c r="M14" s="71"/>
    </row>
    <row r="15" spans="1:15">
      <c r="A15" s="25" t="s">
        <v>81</v>
      </c>
      <c r="B15" s="11"/>
      <c r="C15" s="11"/>
      <c r="D15" s="11"/>
      <c r="E15" s="11"/>
      <c r="F15" s="11">
        <f>+((F13/C13)^(1/3)-1)</f>
        <v>1.1890778265717628</v>
      </c>
      <c r="H15" s="5" t="s">
        <v>83</v>
      </c>
      <c r="I15" s="10">
        <v>4353.3829999999998</v>
      </c>
      <c r="J15" s="23">
        <v>8.6829999999999997E-3</v>
      </c>
      <c r="K15" s="23">
        <v>0</v>
      </c>
      <c r="L15" s="23">
        <v>0</v>
      </c>
      <c r="M15" s="23">
        <v>0</v>
      </c>
    </row>
    <row r="16" spans="1:15" ht="12">
      <c r="A16" s="24" t="s">
        <v>4</v>
      </c>
      <c r="B16" s="27" t="e">
        <f>(B13/#REF!)</f>
        <v>#REF!</v>
      </c>
      <c r="C16" s="27">
        <f>(C13/C4)</f>
        <v>-9.6936674375137765E-3</v>
      </c>
      <c r="D16" s="27">
        <f>(D13/D4)</f>
        <v>-2.0017820017820001E-2</v>
      </c>
      <c r="E16" s="27" t="e">
        <f>(E13/E4)</f>
        <v>#DIV/0!</v>
      </c>
      <c r="F16" s="27">
        <f>(F13/F4)</f>
        <v>-0.21397147047060361</v>
      </c>
      <c r="H16" s="5" t="s">
        <v>84</v>
      </c>
      <c r="I16" s="10">
        <v>0</v>
      </c>
      <c r="J16" s="23">
        <v>0</v>
      </c>
      <c r="K16" s="23">
        <v>0</v>
      </c>
      <c r="L16" s="23">
        <v>0</v>
      </c>
      <c r="M16" s="23">
        <v>0</v>
      </c>
    </row>
    <row r="17" spans="1:15">
      <c r="A17" s="5" t="s">
        <v>86</v>
      </c>
      <c r="B17" s="10">
        <v>365.72800000000001</v>
      </c>
      <c r="C17" s="10">
        <v>0</v>
      </c>
      <c r="D17" s="10">
        <v>8.9999999999999993E-3</v>
      </c>
      <c r="E17" s="23">
        <v>0</v>
      </c>
      <c r="F17" s="23">
        <v>0</v>
      </c>
      <c r="H17" s="5" t="s">
        <v>101</v>
      </c>
      <c r="I17" s="10">
        <v>0</v>
      </c>
      <c r="J17" s="23">
        <v>0</v>
      </c>
      <c r="K17" s="23">
        <v>0</v>
      </c>
      <c r="L17" s="23">
        <v>0</v>
      </c>
      <c r="M17" s="23">
        <v>0</v>
      </c>
    </row>
    <row r="18" spans="1:15">
      <c r="A18" s="5" t="s">
        <v>87</v>
      </c>
      <c r="B18" s="10">
        <v>802.21900000000005</v>
      </c>
      <c r="C18" s="10">
        <v>0</v>
      </c>
      <c r="D18" s="10">
        <v>0</v>
      </c>
      <c r="E18" s="23">
        <v>0</v>
      </c>
      <c r="F18" s="23">
        <v>0</v>
      </c>
      <c r="H18" s="5" t="s">
        <v>102</v>
      </c>
      <c r="I18" s="10">
        <v>1961.405</v>
      </c>
      <c r="J18" s="23">
        <v>0</v>
      </c>
      <c r="K18" s="23">
        <v>0</v>
      </c>
      <c r="L18" s="23">
        <v>0</v>
      </c>
      <c r="M18" s="23">
        <v>0</v>
      </c>
    </row>
    <row r="19" spans="1:15">
      <c r="A19" s="5" t="s">
        <v>89</v>
      </c>
      <c r="B19" s="10">
        <v>0</v>
      </c>
      <c r="C19" s="10">
        <v>0</v>
      </c>
      <c r="D19" s="10">
        <v>0</v>
      </c>
      <c r="E19" s="23">
        <v>0</v>
      </c>
      <c r="F19" s="23">
        <v>0</v>
      </c>
      <c r="H19" s="5" t="s">
        <v>103</v>
      </c>
      <c r="I19" s="10"/>
      <c r="J19" s="23">
        <v>0</v>
      </c>
      <c r="K19" s="23">
        <v>0</v>
      </c>
      <c r="L19" s="23">
        <v>0</v>
      </c>
      <c r="M19" s="23">
        <v>0</v>
      </c>
      <c r="O19" s="3"/>
    </row>
    <row r="20" spans="1:15">
      <c r="A20" s="5" t="s">
        <v>5</v>
      </c>
      <c r="B20" s="10">
        <v>8.9009999999999998</v>
      </c>
      <c r="C20" s="10">
        <v>0.754</v>
      </c>
      <c r="D20" s="10">
        <v>2.6280000000000001</v>
      </c>
      <c r="E20" s="23">
        <v>15.356999999999999</v>
      </c>
      <c r="F20" s="23">
        <v>11.573</v>
      </c>
      <c r="H20" s="5" t="s">
        <v>85</v>
      </c>
      <c r="I20" s="10"/>
      <c r="J20" s="23"/>
      <c r="K20" s="23"/>
      <c r="L20" s="23"/>
      <c r="M20" s="23"/>
    </row>
    <row r="21" spans="1:15" ht="12">
      <c r="A21" s="24" t="s">
        <v>6</v>
      </c>
      <c r="B21" s="9" t="e">
        <f>(B13-B17-B18+B19+B20)</f>
        <v>#REF!</v>
      </c>
      <c r="C21" s="9">
        <f>(C13-C17-C18+C19+C20)</f>
        <v>0.44800000000000262</v>
      </c>
      <c r="D21" s="9">
        <f>(D13-D17-D18+D19+D20)</f>
        <v>1.9450000000000007</v>
      </c>
      <c r="E21" s="9">
        <f>(E13-E17-E18+E19+E20)</f>
        <v>11.265999999999998</v>
      </c>
      <c r="F21" s="9">
        <f>(F13-F17-F18+F19+F20)</f>
        <v>8.3630000000000049</v>
      </c>
      <c r="H21" s="5" t="s">
        <v>110</v>
      </c>
      <c r="I21" s="10"/>
      <c r="J21" s="23">
        <v>0</v>
      </c>
      <c r="K21" s="23">
        <v>0.31923899999999999</v>
      </c>
      <c r="L21" s="23">
        <f>406171857/1000000</f>
        <v>406.17185699999999</v>
      </c>
      <c r="M21" s="23">
        <v>0</v>
      </c>
    </row>
    <row r="22" spans="1:15">
      <c r="A22" s="5" t="s">
        <v>7</v>
      </c>
      <c r="B22" s="10">
        <v>6.3959999999999999</v>
      </c>
      <c r="C22" s="10">
        <f>0.002-0.084</f>
        <v>-8.2000000000000003E-2</v>
      </c>
      <c r="D22" s="10">
        <f>0.59-0.002</f>
        <v>0.58799999999999997</v>
      </c>
      <c r="E22" s="23">
        <v>3.1880000000000002</v>
      </c>
      <c r="F22" s="23">
        <v>2.19</v>
      </c>
      <c r="G22" s="28"/>
      <c r="H22" s="5" t="s">
        <v>104</v>
      </c>
      <c r="I22" s="10"/>
      <c r="J22" s="23">
        <v>0</v>
      </c>
      <c r="K22" s="23">
        <v>0</v>
      </c>
      <c r="L22" s="23">
        <v>0</v>
      </c>
      <c r="M22" s="23">
        <v>0</v>
      </c>
    </row>
    <row r="23" spans="1:15">
      <c r="A23" s="25" t="s">
        <v>8</v>
      </c>
      <c r="B23" s="11">
        <v>0</v>
      </c>
      <c r="C23" s="11">
        <f>(C22/C21)</f>
        <v>-0.18303571428571322</v>
      </c>
      <c r="D23" s="11">
        <f>(D22/D21)</f>
        <v>0.30231362467866313</v>
      </c>
      <c r="E23" s="11">
        <f>(E22/E21)</f>
        <v>0.28297532398366776</v>
      </c>
      <c r="F23" s="11">
        <f>(F22/F21)</f>
        <v>0.26186775080712649</v>
      </c>
      <c r="H23" s="5" t="s">
        <v>88</v>
      </c>
      <c r="I23" s="10">
        <v>0</v>
      </c>
      <c r="J23" s="23">
        <v>0</v>
      </c>
      <c r="K23" s="23">
        <v>0</v>
      </c>
      <c r="L23" s="23">
        <v>0</v>
      </c>
      <c r="M23" s="23">
        <v>0</v>
      </c>
    </row>
    <row r="24" spans="1:15" ht="12">
      <c r="A24" s="24" t="s">
        <v>9</v>
      </c>
      <c r="B24" s="9" t="e">
        <f>(B21-B22)</f>
        <v>#REF!</v>
      </c>
      <c r="C24" s="9">
        <f>(C21-C22)</f>
        <v>0.53000000000000258</v>
      </c>
      <c r="D24" s="9">
        <f>(D21-D22)</f>
        <v>1.3570000000000007</v>
      </c>
      <c r="E24" s="9">
        <f>(E21-E22)</f>
        <v>8.0779999999999976</v>
      </c>
      <c r="F24" s="9">
        <f>(F21-F22)</f>
        <v>6.1730000000000054</v>
      </c>
      <c r="H24" s="5" t="s">
        <v>105</v>
      </c>
      <c r="I24" s="10">
        <v>220.53899999999999</v>
      </c>
      <c r="J24" s="23">
        <v>3.944709</v>
      </c>
      <c r="K24" s="23"/>
      <c r="L24" s="23">
        <v>0</v>
      </c>
      <c r="M24" s="23">
        <v>0</v>
      </c>
    </row>
    <row r="25" spans="1:15" ht="12">
      <c r="A25" s="24" t="s">
        <v>69</v>
      </c>
      <c r="B25" s="29">
        <v>0</v>
      </c>
      <c r="C25" s="29">
        <f>C24/C4</f>
        <v>1.678968543098814E-2</v>
      </c>
      <c r="D25" s="29">
        <f>D24/D4</f>
        <v>4.0302940302940321E-2</v>
      </c>
      <c r="E25" s="29" t="e">
        <f>E24/E4</f>
        <v>#DIV/0!</v>
      </c>
      <c r="F25" s="29">
        <f>F24/F4</f>
        <v>0.41147846953739536</v>
      </c>
      <c r="H25" s="5" t="s">
        <v>90</v>
      </c>
      <c r="I25" s="10">
        <v>7.9480000000000004</v>
      </c>
      <c r="J25" s="23">
        <v>0</v>
      </c>
      <c r="K25" s="23">
        <v>0</v>
      </c>
      <c r="L25" s="23">
        <v>0</v>
      </c>
      <c r="M25" s="23">
        <v>0</v>
      </c>
    </row>
    <row r="26" spans="1:15" ht="12">
      <c r="A26" s="5" t="s">
        <v>10</v>
      </c>
      <c r="B26" s="1"/>
      <c r="C26" s="1">
        <v>0</v>
      </c>
      <c r="D26" s="1">
        <v>0</v>
      </c>
      <c r="E26" s="1">
        <v>0</v>
      </c>
      <c r="F26" s="1">
        <v>0</v>
      </c>
      <c r="H26" s="24" t="s">
        <v>36</v>
      </c>
      <c r="I26" s="9">
        <f>SUM(I27:I35)</f>
        <v>1509.585</v>
      </c>
      <c r="J26" s="9">
        <f>SUM(J27:J35)</f>
        <v>37.969014999999999</v>
      </c>
      <c r="K26" s="9">
        <f>SUM(K27:K35)</f>
        <v>48.662321999999996</v>
      </c>
      <c r="L26" s="9">
        <f>SUM(L27:L35)</f>
        <v>191.56921400000002</v>
      </c>
      <c r="M26" s="9">
        <f>SUM(M27:M35)</f>
        <v>614.82621799999993</v>
      </c>
    </row>
    <row r="27" spans="1:15">
      <c r="A27" s="5" t="s">
        <v>92</v>
      </c>
      <c r="B27" s="1">
        <v>825.95399999999995</v>
      </c>
      <c r="C27" s="1">
        <v>0</v>
      </c>
      <c r="D27" s="1">
        <v>0</v>
      </c>
      <c r="E27" s="1">
        <v>0</v>
      </c>
      <c r="F27" s="1">
        <v>0</v>
      </c>
      <c r="H27" s="5" t="s">
        <v>37</v>
      </c>
      <c r="I27" s="10">
        <v>1395.806</v>
      </c>
      <c r="J27" s="23">
        <v>4.9856959999999999</v>
      </c>
      <c r="K27" s="23">
        <v>0</v>
      </c>
      <c r="L27" s="23"/>
      <c r="M27" s="23">
        <v>0</v>
      </c>
    </row>
    <row r="28" spans="1:15">
      <c r="A28" s="5" t="s">
        <v>61</v>
      </c>
      <c r="B28" s="1"/>
      <c r="C28" s="1">
        <v>0</v>
      </c>
      <c r="D28" s="1">
        <v>0</v>
      </c>
      <c r="E28" s="1">
        <v>0</v>
      </c>
      <c r="F28" s="1">
        <v>-0.40200000000000002</v>
      </c>
      <c r="H28" s="5" t="s">
        <v>85</v>
      </c>
      <c r="I28" s="10"/>
      <c r="J28" s="23"/>
      <c r="K28" s="23"/>
      <c r="L28" s="23"/>
      <c r="M28" s="23"/>
    </row>
    <row r="29" spans="1:15" ht="12">
      <c r="A29" s="24" t="s">
        <v>93</v>
      </c>
      <c r="B29" s="30" t="e">
        <f>(B24-B26+B28+B27)</f>
        <v>#REF!</v>
      </c>
      <c r="C29" s="30">
        <f>(C24-C26+C28+C27)</f>
        <v>0.53000000000000258</v>
      </c>
      <c r="D29" s="30">
        <f>(D24-D26+D28+D27)</f>
        <v>1.3570000000000007</v>
      </c>
      <c r="E29" s="30">
        <f>(E24-E26+E28+E27)</f>
        <v>8.0779999999999976</v>
      </c>
      <c r="F29" s="30">
        <f>(F24-F26+F28+F27)</f>
        <v>5.7710000000000052</v>
      </c>
      <c r="G29" s="28"/>
      <c r="H29" s="5" t="s">
        <v>110</v>
      </c>
      <c r="I29" s="10"/>
      <c r="J29" s="23">
        <v>0</v>
      </c>
      <c r="K29" s="23"/>
      <c r="L29" s="23"/>
      <c r="M29" s="23">
        <v>491.25065000000001</v>
      </c>
      <c r="N29" s="3"/>
    </row>
    <row r="30" spans="1:15">
      <c r="A30" s="25" t="s">
        <v>1</v>
      </c>
      <c r="B30" s="11"/>
      <c r="C30" s="11"/>
      <c r="D30" s="11">
        <f>(D29/C29-1)</f>
        <v>1.5603773584905549</v>
      </c>
      <c r="E30" s="11">
        <f>(E29/D29-1)</f>
        <v>4.9528371407516536</v>
      </c>
      <c r="F30" s="11">
        <f>(F29/E29-1)</f>
        <v>-0.28559049269621106</v>
      </c>
      <c r="H30" s="5" t="s">
        <v>111</v>
      </c>
      <c r="I30" s="10">
        <v>0</v>
      </c>
      <c r="J30" s="23">
        <v>0</v>
      </c>
      <c r="K30" s="23">
        <v>8.6259099999999993</v>
      </c>
      <c r="L30" s="23"/>
      <c r="M30" s="23">
        <v>17.946981999999998</v>
      </c>
    </row>
    <row r="31" spans="1:15">
      <c r="A31" s="25" t="s">
        <v>94</v>
      </c>
      <c r="B31" s="11"/>
      <c r="C31" s="11"/>
      <c r="D31" s="11"/>
      <c r="E31" s="11"/>
      <c r="F31" s="11">
        <f>+((F29/C29)^(1/3)-1)</f>
        <v>1.2164523624269639</v>
      </c>
      <c r="H31" s="5" t="s">
        <v>91</v>
      </c>
      <c r="I31" s="10">
        <v>100.908</v>
      </c>
      <c r="J31" s="23">
        <v>1.79186</v>
      </c>
      <c r="K31" s="23">
        <v>3.5168940000000002</v>
      </c>
      <c r="L31" s="23">
        <f>90331209/1000000</f>
        <v>90.331209000000001</v>
      </c>
      <c r="M31" s="23">
        <v>17.685472000000001</v>
      </c>
    </row>
    <row r="32" spans="1:15" ht="12">
      <c r="A32" s="20" t="s">
        <v>11</v>
      </c>
      <c r="B32" s="12">
        <v>5.22</v>
      </c>
      <c r="C32" s="12">
        <v>0.15</v>
      </c>
      <c r="D32" s="12">
        <v>0.38</v>
      </c>
      <c r="E32" s="12">
        <v>2.14</v>
      </c>
      <c r="F32" s="12">
        <v>0.35</v>
      </c>
      <c r="H32" s="5" t="s">
        <v>113</v>
      </c>
      <c r="I32" s="10">
        <v>0</v>
      </c>
      <c r="J32" s="23">
        <v>4.0447800000000003</v>
      </c>
      <c r="K32" s="23">
        <v>36.279662999999999</v>
      </c>
      <c r="L32" s="23">
        <f>101111936/1000000</f>
        <v>101.111936</v>
      </c>
      <c r="M32" s="23">
        <v>87.688902999999996</v>
      </c>
    </row>
    <row r="33" spans="1:13">
      <c r="A33" s="31" t="s">
        <v>1</v>
      </c>
      <c r="B33" s="32"/>
      <c r="C33" s="32"/>
      <c r="D33" s="32">
        <f>(D32/C32-1)</f>
        <v>1.5333333333333337</v>
      </c>
      <c r="E33" s="32">
        <f>(E32/D32-1)</f>
        <v>4.6315789473684212</v>
      </c>
      <c r="F33" s="32">
        <f>(F32/E32-1)</f>
        <v>-0.83644859813084116</v>
      </c>
      <c r="H33" s="5" t="s">
        <v>112</v>
      </c>
      <c r="I33" s="10">
        <v>12.871</v>
      </c>
      <c r="J33" s="23">
        <v>0</v>
      </c>
      <c r="K33" s="23">
        <v>0</v>
      </c>
      <c r="L33" s="23"/>
      <c r="M33" s="23">
        <v>0.127</v>
      </c>
    </row>
    <row r="34" spans="1:13">
      <c r="A34" s="31" t="s">
        <v>94</v>
      </c>
      <c r="B34" s="33"/>
      <c r="C34" s="33"/>
      <c r="D34" s="61"/>
      <c r="E34" s="11"/>
      <c r="F34" s="11">
        <f>+((F32/C32)^(1/3)-1)</f>
        <v>0.32635240263213072</v>
      </c>
      <c r="H34" s="5" t="s">
        <v>59</v>
      </c>
      <c r="I34" s="10"/>
      <c r="J34" s="23">
        <v>27.146678999999999</v>
      </c>
      <c r="K34" s="23">
        <v>0.23985500000000001</v>
      </c>
      <c r="L34" s="23">
        <v>0.12606899999999999</v>
      </c>
      <c r="M34" s="23">
        <v>0.12721099999999999</v>
      </c>
    </row>
    <row r="35" spans="1:13" ht="12">
      <c r="G35" s="18"/>
      <c r="H35" s="5" t="s">
        <v>106</v>
      </c>
      <c r="I35" s="10"/>
      <c r="J35" s="23"/>
      <c r="K35" s="23"/>
      <c r="L35" s="23"/>
      <c r="M35" s="23">
        <v>0</v>
      </c>
    </row>
    <row r="36" spans="1:13" ht="12">
      <c r="G36" s="18"/>
      <c r="H36" s="24" t="s">
        <v>38</v>
      </c>
      <c r="I36" s="9">
        <f>SUM(I37:I41)</f>
        <v>3442.1549999999993</v>
      </c>
      <c r="J36" s="9">
        <f>SUM(J37:J41)</f>
        <v>0.140128</v>
      </c>
      <c r="K36" s="9">
        <f>SUM(K37:K41)</f>
        <v>5.9134029999999997</v>
      </c>
      <c r="L36" s="9">
        <f>SUM(L37:L41)</f>
        <v>2.5678529999999999</v>
      </c>
      <c r="M36" s="9">
        <f>SUM(M37:M41)</f>
        <v>15.809009799999998</v>
      </c>
    </row>
    <row r="37" spans="1:13" ht="12">
      <c r="A37" s="18" t="s">
        <v>12</v>
      </c>
      <c r="G37" s="18"/>
      <c r="H37" s="5" t="s">
        <v>95</v>
      </c>
      <c r="I37" s="10"/>
      <c r="J37" s="23"/>
      <c r="K37" s="23"/>
      <c r="L37" s="23"/>
      <c r="M37" s="23"/>
    </row>
    <row r="38" spans="1:13" ht="12">
      <c r="A38" s="20" t="s">
        <v>0</v>
      </c>
      <c r="B38" s="17" t="s">
        <v>27</v>
      </c>
      <c r="C38" s="17" t="s">
        <v>28</v>
      </c>
      <c r="D38" s="75" t="s">
        <v>29</v>
      </c>
      <c r="E38" s="75" t="s">
        <v>71</v>
      </c>
      <c r="F38" s="34"/>
      <c r="G38" s="18"/>
      <c r="H38" s="5" t="s">
        <v>96</v>
      </c>
      <c r="I38" s="10">
        <v>1119.2059999999999</v>
      </c>
      <c r="J38" s="23">
        <v>0</v>
      </c>
      <c r="K38" s="23">
        <v>5.4175649999999997</v>
      </c>
      <c r="L38" s="23">
        <v>1.2334350000000001</v>
      </c>
      <c r="M38" s="23">
        <v>14.822642999999999</v>
      </c>
    </row>
    <row r="39" spans="1:13" ht="12">
      <c r="A39" s="20" t="s">
        <v>13</v>
      </c>
      <c r="B39" s="8">
        <v>65.924000000000007</v>
      </c>
      <c r="C39" s="48"/>
      <c r="D39" s="62">
        <v>2.0699999999999998</v>
      </c>
      <c r="E39" s="62">
        <v>3.5689299999999999</v>
      </c>
      <c r="F39" s="56"/>
      <c r="H39" s="5" t="s">
        <v>114</v>
      </c>
      <c r="I39" s="10">
        <v>2302.5369999999998</v>
      </c>
      <c r="J39" s="23">
        <v>6.3249999999999999E-3</v>
      </c>
      <c r="K39" s="23">
        <v>0</v>
      </c>
      <c r="L39" s="23">
        <v>0.44413200000000003</v>
      </c>
      <c r="M39" s="23">
        <v>2.2248799999999999E-2</v>
      </c>
    </row>
    <row r="40" spans="1:13" ht="12">
      <c r="A40" s="20" t="s">
        <v>14</v>
      </c>
      <c r="B40" s="21">
        <v>1688.242</v>
      </c>
      <c r="C40" s="45"/>
      <c r="D40" s="62">
        <v>30</v>
      </c>
      <c r="E40" s="62">
        <v>6.53437</v>
      </c>
      <c r="F40" s="56"/>
      <c r="H40" s="5" t="s">
        <v>115</v>
      </c>
      <c r="I40" s="10">
        <v>20.411999999999999</v>
      </c>
      <c r="J40" s="23"/>
      <c r="K40" s="23"/>
      <c r="L40" s="23">
        <v>0.89028600000000002</v>
      </c>
      <c r="M40" s="23">
        <v>0.96411800000000003</v>
      </c>
    </row>
    <row r="41" spans="1:13">
      <c r="A41" s="5" t="s">
        <v>68</v>
      </c>
      <c r="B41" s="10">
        <v>-1200.932</v>
      </c>
      <c r="C41" s="46"/>
      <c r="D41" s="67">
        <v>3.62547</v>
      </c>
      <c r="E41" s="67">
        <v>-61.6</v>
      </c>
      <c r="F41" s="57"/>
      <c r="H41" s="5" t="s">
        <v>107</v>
      </c>
      <c r="I41" s="10">
        <v>0</v>
      </c>
      <c r="J41" s="23">
        <v>0.13380300000000001</v>
      </c>
      <c r="K41" s="23">
        <v>0.495838</v>
      </c>
      <c r="L41" s="23"/>
      <c r="M41" s="23">
        <v>0</v>
      </c>
    </row>
    <row r="42" spans="1:13" ht="12">
      <c r="A42" s="5" t="s">
        <v>15</v>
      </c>
      <c r="B42" s="10">
        <v>-452.32600000000002</v>
      </c>
      <c r="C42" s="46"/>
      <c r="D42" s="67">
        <v>32.200000000000003</v>
      </c>
      <c r="E42" s="67">
        <v>14.190028999999999</v>
      </c>
      <c r="F42" s="57"/>
      <c r="H42" s="24" t="s">
        <v>39</v>
      </c>
      <c r="I42" s="9">
        <f>(I26-I36-I9)</f>
        <v>-3585.0269999999991</v>
      </c>
      <c r="J42" s="9">
        <f>(J26-J36-J9)</f>
        <v>37.828887000000002</v>
      </c>
      <c r="K42" s="9">
        <f>(K26-K36-K9)</f>
        <v>42.748918999999994</v>
      </c>
      <c r="L42" s="9">
        <f>(L26-L36-L9)</f>
        <v>189.001361</v>
      </c>
      <c r="M42" s="9">
        <f>(M26-M36-M9)</f>
        <v>599.01720819999991</v>
      </c>
    </row>
    <row r="43" spans="1:13" ht="12">
      <c r="A43" s="20" t="s">
        <v>16</v>
      </c>
      <c r="B43" s="21">
        <f>+B40+B41+B42</f>
        <v>34.983999999999924</v>
      </c>
      <c r="C43" s="45"/>
      <c r="D43" s="76">
        <v>1.4</v>
      </c>
      <c r="E43" s="76">
        <v>86.143000000000001</v>
      </c>
      <c r="F43" s="56"/>
      <c r="H43" s="5" t="s">
        <v>98</v>
      </c>
      <c r="I43" s="10">
        <v>0</v>
      </c>
      <c r="J43" s="23">
        <v>0</v>
      </c>
      <c r="K43" s="23">
        <v>0</v>
      </c>
      <c r="L43" s="23"/>
      <c r="M43" s="23"/>
    </row>
    <row r="44" spans="1:13" ht="12">
      <c r="A44" s="20" t="s">
        <v>62</v>
      </c>
      <c r="B44" s="9">
        <f>+B39+B43</f>
        <v>100.90799999999993</v>
      </c>
      <c r="C44" s="9">
        <f>+C39+C43</f>
        <v>0</v>
      </c>
      <c r="D44" s="63">
        <f>+D39+D43</f>
        <v>3.4699999999999998</v>
      </c>
      <c r="E44" s="77">
        <f>+E39+E43</f>
        <v>89.711929999999995</v>
      </c>
      <c r="F44" s="56"/>
      <c r="H44" s="5" t="s">
        <v>99</v>
      </c>
      <c r="I44" s="10">
        <v>276.83100000000002</v>
      </c>
      <c r="J44" s="23">
        <v>2.068E-3</v>
      </c>
      <c r="K44" s="23">
        <v>1.75E-4</v>
      </c>
      <c r="L44" s="23">
        <v>0</v>
      </c>
      <c r="M44" s="23">
        <v>5.8999999999999998E-5</v>
      </c>
    </row>
    <row r="45" spans="1:13">
      <c r="C45" s="49"/>
      <c r="D45" s="49"/>
      <c r="E45" s="49"/>
      <c r="F45" s="49"/>
      <c r="H45" s="5" t="s">
        <v>100</v>
      </c>
      <c r="I45" s="10"/>
      <c r="J45" s="23">
        <v>0</v>
      </c>
      <c r="K45" s="72">
        <v>0</v>
      </c>
      <c r="L45" s="23">
        <v>0</v>
      </c>
      <c r="M45" s="23">
        <v>0</v>
      </c>
    </row>
    <row r="46" spans="1:13" ht="12">
      <c r="A46" s="35" t="s">
        <v>17</v>
      </c>
      <c r="B46" s="17" t="s">
        <v>27</v>
      </c>
      <c r="C46" s="17" t="s">
        <v>28</v>
      </c>
      <c r="D46" s="17" t="s">
        <v>29</v>
      </c>
      <c r="E46" s="17" t="s">
        <v>71</v>
      </c>
      <c r="F46" s="17" t="s">
        <v>77</v>
      </c>
      <c r="H46" s="5"/>
      <c r="I46" s="10">
        <v>0</v>
      </c>
      <c r="J46" s="23"/>
      <c r="K46" s="23"/>
      <c r="L46" s="23"/>
      <c r="M46" s="23"/>
    </row>
    <row r="47" spans="1:13" ht="12">
      <c r="A47" s="5" t="s">
        <v>18</v>
      </c>
      <c r="B47" s="36" t="e">
        <f>B21</f>
        <v>#REF!</v>
      </c>
      <c r="C47" s="13">
        <v>295.11599999999896</v>
      </c>
      <c r="D47" s="13">
        <f>D21</f>
        <v>1.9450000000000007</v>
      </c>
      <c r="E47" s="13">
        <f>E21</f>
        <v>11.265999999999998</v>
      </c>
      <c r="F47" s="13">
        <f>F21</f>
        <v>8.3630000000000049</v>
      </c>
      <c r="H47" s="20"/>
      <c r="I47" s="8"/>
      <c r="J47" s="8"/>
      <c r="K47" s="8"/>
      <c r="L47" s="8"/>
      <c r="M47" s="8"/>
    </row>
    <row r="48" spans="1:13" ht="12">
      <c r="A48" s="5" t="s">
        <v>19</v>
      </c>
      <c r="B48" s="36">
        <f>B17</f>
        <v>365.72800000000001</v>
      </c>
      <c r="C48" s="13">
        <v>268.62599999999998</v>
      </c>
      <c r="D48" s="13">
        <f>D17</f>
        <v>8.9999999999999993E-3</v>
      </c>
      <c r="E48" s="13">
        <f>E17</f>
        <v>0</v>
      </c>
      <c r="F48" s="13">
        <f>F17</f>
        <v>0</v>
      </c>
      <c r="H48" s="24" t="s">
        <v>73</v>
      </c>
      <c r="I48" s="9">
        <f>SUM(I15:I25)+I26</f>
        <v>8052.86</v>
      </c>
      <c r="J48" s="9">
        <f>SUM(J15:J25)+J26</f>
        <v>41.922407</v>
      </c>
      <c r="K48" s="9">
        <f>SUM(K15:K25)+K26</f>
        <v>48.981560999999999</v>
      </c>
      <c r="L48" s="9">
        <f>SUM(L15:L25)+L26</f>
        <v>597.74107100000003</v>
      </c>
      <c r="M48" s="9">
        <f>SUM(M15:M25)+M26</f>
        <v>614.82621799999993</v>
      </c>
    </row>
    <row r="49" spans="1:13" ht="12">
      <c r="A49" s="5" t="s">
        <v>20</v>
      </c>
      <c r="B49" s="36">
        <f>B20</f>
        <v>8.9009999999999998</v>
      </c>
      <c r="C49" s="13">
        <v>-597.6</v>
      </c>
      <c r="D49" s="13">
        <v>66.3</v>
      </c>
      <c r="E49" s="13">
        <v>20.100000000000023</v>
      </c>
      <c r="F49" s="13">
        <v>20.100000000000023</v>
      </c>
      <c r="H49" s="24" t="s">
        <v>74</v>
      </c>
      <c r="I49" s="9">
        <f>I46+I36+I10+I6+I43+I47+I44</f>
        <v>12124.262999999999</v>
      </c>
      <c r="J49" s="9">
        <f>J46+J36+J10+J6+J43+J47+J44</f>
        <v>41.922406999999993</v>
      </c>
      <c r="K49" s="9">
        <f>K46+K36+K10+K6+K43+K47+K44+K45</f>
        <v>48.958855</v>
      </c>
      <c r="L49" s="9">
        <f>L46+L36+L10+L6+L43+L47+L44+L45</f>
        <v>597.74101100000007</v>
      </c>
      <c r="M49" s="9">
        <f>M46+M36+M10+M6+M43+M47+M44+M45</f>
        <v>614.62597879999998</v>
      </c>
    </row>
    <row r="50" spans="1:13" ht="12">
      <c r="A50" s="5" t="s">
        <v>21</v>
      </c>
      <c r="B50" s="36"/>
      <c r="C50" s="13">
        <v>2336.8000000000002</v>
      </c>
      <c r="D50" s="13">
        <v>592.5</v>
      </c>
      <c r="E50" s="13">
        <v>-977.7</v>
      </c>
      <c r="F50" s="13">
        <v>-977.7</v>
      </c>
      <c r="H50" s="18" t="s">
        <v>40</v>
      </c>
      <c r="L50" s="58"/>
    </row>
    <row r="51" spans="1:13" ht="12">
      <c r="A51" s="5" t="s">
        <v>22</v>
      </c>
      <c r="B51" s="36">
        <f>-B22</f>
        <v>-6.3959999999999999</v>
      </c>
      <c r="C51" s="13">
        <v>-38.4</v>
      </c>
      <c r="D51" s="13">
        <v>-67.8</v>
      </c>
      <c r="E51" s="13">
        <v>-129</v>
      </c>
      <c r="F51" s="13">
        <v>-129</v>
      </c>
      <c r="H51" s="20" t="s">
        <v>41</v>
      </c>
      <c r="I51" s="4" t="s">
        <v>27</v>
      </c>
      <c r="J51" s="65" t="s">
        <v>28</v>
      </c>
      <c r="K51" s="84" t="s">
        <v>29</v>
      </c>
      <c r="L51" s="84" t="s">
        <v>71</v>
      </c>
      <c r="M51" s="75" t="s">
        <v>77</v>
      </c>
    </row>
    <row r="52" spans="1:13" ht="12">
      <c r="A52" s="20" t="s">
        <v>23</v>
      </c>
      <c r="B52" s="42" t="e">
        <f>SUM(B47:B51)</f>
        <v>#REF!</v>
      </c>
      <c r="C52" s="9">
        <v>2264.541999999999</v>
      </c>
      <c r="D52" s="9">
        <f>SUM(D47:D51)</f>
        <v>592.95400000000006</v>
      </c>
      <c r="E52" s="9">
        <v>703.77900000000113</v>
      </c>
      <c r="F52" s="9">
        <v>703.77900000000113</v>
      </c>
      <c r="H52" s="37" t="s">
        <v>42</v>
      </c>
      <c r="I52" s="38">
        <v>84.05</v>
      </c>
      <c r="J52" s="66"/>
      <c r="K52" s="73">
        <v>1.54999995231628</v>
      </c>
      <c r="L52" s="73">
        <v>3.8599998950958301</v>
      </c>
      <c r="M52" s="73">
        <v>52.599998474121101</v>
      </c>
    </row>
    <row r="53" spans="1:13" ht="12">
      <c r="A53" s="5" t="s">
        <v>24</v>
      </c>
      <c r="B53" s="36"/>
      <c r="C53" s="13">
        <v>-457</v>
      </c>
      <c r="D53" s="13">
        <v>-1032</v>
      </c>
      <c r="E53" s="13">
        <v>-657</v>
      </c>
      <c r="F53" s="13">
        <v>-657</v>
      </c>
      <c r="H53" s="30" t="s">
        <v>43</v>
      </c>
      <c r="I53" s="39">
        <f>B32</f>
        <v>5.22</v>
      </c>
      <c r="J53" s="50">
        <f>C32</f>
        <v>0.15</v>
      </c>
      <c r="K53" s="78">
        <f>D32</f>
        <v>0.38</v>
      </c>
      <c r="L53" s="78">
        <f>E32</f>
        <v>2.14</v>
      </c>
      <c r="M53" s="78">
        <f>F32</f>
        <v>0.35</v>
      </c>
    </row>
    <row r="54" spans="1:13" ht="12">
      <c r="A54" s="24" t="s">
        <v>25</v>
      </c>
      <c r="B54" s="42" t="e">
        <f>SUM(B52:B53)</f>
        <v>#REF!</v>
      </c>
      <c r="C54" s="9">
        <v>1807.541999999999</v>
      </c>
      <c r="D54" s="9">
        <f>SUM(D52:D53)</f>
        <v>-439.04599999999994</v>
      </c>
      <c r="E54" s="9">
        <v>46.779000000001098</v>
      </c>
      <c r="F54" s="9">
        <v>46.779000000001098</v>
      </c>
      <c r="H54" s="40" t="s">
        <v>44</v>
      </c>
      <c r="I54" s="41">
        <v>0</v>
      </c>
      <c r="J54" s="51">
        <f>(J6*1000000)/C57</f>
        <v>1.5736455031498926</v>
      </c>
      <c r="K54" s="79">
        <f>(K6*1000000)/D57</f>
        <v>12.023820391061452</v>
      </c>
      <c r="L54" s="79">
        <f>(L6*1000000)/E57</f>
        <v>33.951691842555618</v>
      </c>
      <c r="M54" s="79">
        <f>(M6*1000000)/F57</f>
        <v>34.159549914432404</v>
      </c>
    </row>
    <row r="55" spans="1:13">
      <c r="A55" s="2" t="s">
        <v>26</v>
      </c>
      <c r="C55" s="49"/>
      <c r="D55" s="49"/>
      <c r="E55" s="49"/>
      <c r="F55" s="49"/>
      <c r="H55" s="1" t="s">
        <v>45</v>
      </c>
      <c r="I55" s="7"/>
      <c r="J55" s="52">
        <v>0</v>
      </c>
      <c r="K55" s="74">
        <v>0</v>
      </c>
      <c r="L55" s="74">
        <v>0</v>
      </c>
      <c r="M55" s="74">
        <v>0</v>
      </c>
    </row>
    <row r="56" spans="1:13">
      <c r="C56" s="49"/>
      <c r="D56" s="49"/>
      <c r="E56" s="49"/>
      <c r="F56" s="49"/>
      <c r="H56" s="1" t="s">
        <v>46</v>
      </c>
      <c r="I56" s="41">
        <f>(I52/I53)</f>
        <v>16.101532567049809</v>
      </c>
      <c r="J56" s="51">
        <f>(J52/J53)</f>
        <v>0</v>
      </c>
      <c r="K56" s="79">
        <f>(K52/K53)</f>
        <v>4.0789472429375788</v>
      </c>
      <c r="L56" s="79">
        <f>(L52/L53)</f>
        <v>1.803738268736369</v>
      </c>
      <c r="M56" s="79">
        <f>(M52/M53)</f>
        <v>150.28570992606029</v>
      </c>
    </row>
    <row r="57" spans="1:13" ht="13.2">
      <c r="A57" s="5" t="s">
        <v>63</v>
      </c>
      <c r="B57" s="14"/>
      <c r="C57" s="60">
        <v>26549951</v>
      </c>
      <c r="D57" s="59">
        <v>3580000</v>
      </c>
      <c r="E57" s="83">
        <v>17530000</v>
      </c>
      <c r="F57" s="83">
        <v>17530000</v>
      </c>
      <c r="H57" s="1" t="s">
        <v>47</v>
      </c>
      <c r="I57" s="41">
        <v>0</v>
      </c>
      <c r="J57" s="51">
        <f>(J52/J54)</f>
        <v>0</v>
      </c>
      <c r="K57" s="79">
        <f>(K52/K54)</f>
        <v>0.12891077061235504</v>
      </c>
      <c r="L57" s="79">
        <f>(L52/L54)</f>
        <v>0.11369094397403907</v>
      </c>
      <c r="M57" s="79">
        <f>(M52/M54)</f>
        <v>1.539832890242433</v>
      </c>
    </row>
    <row r="58" spans="1:13">
      <c r="A58" s="5" t="s">
        <v>64</v>
      </c>
      <c r="B58" s="13">
        <f>B57*I52/1000000</f>
        <v>0</v>
      </c>
      <c r="C58" s="13">
        <f>C57*J52/1000000</f>
        <v>0</v>
      </c>
      <c r="D58" s="13">
        <f>D57*K52/1000000</f>
        <v>5.5489998292922822</v>
      </c>
      <c r="E58" s="13">
        <f>E57*L52/1000000</f>
        <v>67.665798161029912</v>
      </c>
      <c r="F58" s="13">
        <f>F57*M52/1000000</f>
        <v>922.07797325134288</v>
      </c>
      <c r="H58" s="1" t="s">
        <v>48</v>
      </c>
      <c r="I58" s="41" t="e">
        <f>B61/B13</f>
        <v>#REF!</v>
      </c>
      <c r="J58" s="51">
        <f>C61/C13</f>
        <v>19.073986928104738</v>
      </c>
      <c r="K58" s="79">
        <f>D61/D13</f>
        <v>50.812399363067868</v>
      </c>
      <c r="L58" s="79">
        <f>E61/E13</f>
        <v>30.256012427027645</v>
      </c>
      <c r="M58" s="79">
        <f>F61/F13</f>
        <v>-254.42479696303553</v>
      </c>
    </row>
    <row r="59" spans="1:13">
      <c r="A59" s="5" t="s">
        <v>67</v>
      </c>
      <c r="B59" s="13">
        <f>I10</f>
        <v>6608.0550000000003</v>
      </c>
      <c r="C59" s="13">
        <f>J10</f>
        <v>0</v>
      </c>
      <c r="D59" s="13">
        <f>K10</f>
        <v>0</v>
      </c>
      <c r="E59" s="13">
        <f>L10</f>
        <v>0</v>
      </c>
      <c r="F59" s="13">
        <f>M10</f>
        <v>0</v>
      </c>
      <c r="H59" s="43" t="s">
        <v>49</v>
      </c>
      <c r="I59" s="32" t="e">
        <f>(B29/I6)</f>
        <v>#REF!</v>
      </c>
      <c r="J59" s="47">
        <f>(C29/J6)</f>
        <v>1.2685431387601242E-2</v>
      </c>
      <c r="K59" s="64">
        <f>(D29/K6)</f>
        <v>3.1524945233829038E-2</v>
      </c>
      <c r="L59" s="64">
        <f>(E29/L6)</f>
        <v>1.3572520688172562E-2</v>
      </c>
      <c r="M59" s="64">
        <f>(F29/M6)</f>
        <v>9.6373363938570232E-3</v>
      </c>
    </row>
    <row r="60" spans="1:13">
      <c r="A60" s="5" t="s">
        <v>65</v>
      </c>
      <c r="B60" s="13">
        <f>I32</f>
        <v>0</v>
      </c>
      <c r="C60" s="13">
        <f>J32+J31</f>
        <v>5.8366400000000001</v>
      </c>
      <c r="D60" s="13">
        <f>K32+K31</f>
        <v>39.796557</v>
      </c>
      <c r="E60" s="13">
        <f>L32+L31</f>
        <v>191.44314500000002</v>
      </c>
      <c r="F60" s="13">
        <f>M32+M31</f>
        <v>105.374375</v>
      </c>
      <c r="H60" s="43" t="s">
        <v>50</v>
      </c>
      <c r="I60" s="32" t="e">
        <f>(B13-B17)/I11</f>
        <v>#REF!</v>
      </c>
      <c r="J60" s="47">
        <f>(C13-C17)/J11</f>
        <v>-7.3236790171258351E-3</v>
      </c>
      <c r="K60" s="64">
        <f>(D13-D17)/K11</f>
        <v>-1.5866949195933629E-2</v>
      </c>
      <c r="L60" s="64">
        <f>(E13-E17)/L11</f>
        <v>-6.8736298756268844E-3</v>
      </c>
      <c r="M60" s="64">
        <f>(F13-F17)/M11</f>
        <v>-5.3605695332257621E-3</v>
      </c>
    </row>
    <row r="61" spans="1:13" ht="12">
      <c r="A61" s="5" t="s">
        <v>66</v>
      </c>
      <c r="B61" s="9">
        <f>B58+B59-B60</f>
        <v>6608.0550000000003</v>
      </c>
      <c r="C61" s="9">
        <f>C58+C59-C60</f>
        <v>-5.8366400000000001</v>
      </c>
      <c r="D61" s="9">
        <f>D58+D59-D60</f>
        <v>-34.247557170707715</v>
      </c>
      <c r="E61" s="9">
        <f>E58+E59-E60</f>
        <v>-123.7773468389701</v>
      </c>
      <c r="F61" s="9">
        <f>F58+F59-F60</f>
        <v>816.7035982513429</v>
      </c>
      <c r="H61" s="1" t="s">
        <v>51</v>
      </c>
      <c r="I61" s="44">
        <f>(I10/I6)</f>
        <v>3.6768162196990692</v>
      </c>
      <c r="J61" s="53">
        <f>(J10/J6)</f>
        <v>0</v>
      </c>
      <c r="K61" s="80">
        <f>(K10/K6)</f>
        <v>0</v>
      </c>
      <c r="L61" s="80">
        <f>(L10/L6)</f>
        <v>0</v>
      </c>
      <c r="M61" s="80">
        <f>(M10/M6)</f>
        <v>0</v>
      </c>
    </row>
    <row r="62" spans="1:13">
      <c r="C62" s="49"/>
      <c r="D62" s="49"/>
      <c r="E62" s="49"/>
      <c r="F62" s="49"/>
      <c r="H62" s="1" t="s">
        <v>52</v>
      </c>
      <c r="I62" s="44">
        <f>(I10-I32-I31)/I6</f>
        <v>3.6206695666979369</v>
      </c>
      <c r="J62" s="53">
        <f>(J10-J32-J31)/J6</f>
        <v>-0.13969867217760104</v>
      </c>
      <c r="K62" s="80">
        <f>(K10-K32-K31)/K6</f>
        <v>-0.9245278407663633</v>
      </c>
      <c r="L62" s="80">
        <f>(L10-L32-L31)/L6</f>
        <v>-0.32165957490979458</v>
      </c>
      <c r="M62" s="80">
        <f>(M10-M32-M31)/M6</f>
        <v>-0.17597094076718708</v>
      </c>
    </row>
    <row r="63" spans="1:13" ht="13.2">
      <c r="C63" s="49"/>
      <c r="D63" s="49"/>
      <c r="E63" s="59"/>
      <c r="F63" s="49"/>
      <c r="H63" s="1" t="s">
        <v>53</v>
      </c>
      <c r="I63" s="6">
        <f>(I55/I52)</f>
        <v>0</v>
      </c>
      <c r="J63" s="54" t="e">
        <f>(J55/J52)</f>
        <v>#DIV/0!</v>
      </c>
      <c r="K63" s="81">
        <f>(K55/K52)</f>
        <v>0</v>
      </c>
      <c r="L63" s="81">
        <f>(L55/L52)</f>
        <v>0</v>
      </c>
      <c r="M63" s="81">
        <f>(M55/M52)</f>
        <v>0</v>
      </c>
    </row>
    <row r="64" spans="1:13">
      <c r="C64" s="49"/>
      <c r="D64" s="49"/>
      <c r="E64" s="49"/>
      <c r="F64" s="49"/>
      <c r="H64" s="1" t="s">
        <v>54</v>
      </c>
      <c r="I64" s="15" t="e">
        <f>(AVERAGE(#REF!)/#REF!*365)</f>
        <v>#REF!</v>
      </c>
      <c r="J64" s="55" t="e">
        <f>(AVERAGE(#REF!)/#REF!*365)</f>
        <v>#REF!</v>
      </c>
      <c r="K64" s="82">
        <f>(AVERAGE(K30)/D4*365)</f>
        <v>93.509270864270846</v>
      </c>
      <c r="L64" s="82" t="s">
        <v>118</v>
      </c>
      <c r="M64" s="82">
        <f>(AVERAGE(M30)/F4*365)</f>
        <v>436.65167510998526</v>
      </c>
    </row>
    <row r="65" spans="3:13">
      <c r="C65" s="49"/>
      <c r="D65" s="49"/>
      <c r="E65" s="49"/>
      <c r="F65" s="49"/>
      <c r="H65" s="1" t="s">
        <v>55</v>
      </c>
      <c r="I65" s="15">
        <f>AVERAGE(I38)/(B8+B9+B11)*365</f>
        <v>80.213484286698034</v>
      </c>
      <c r="J65" s="55">
        <f>AVERAGE(J38:J38)/(C8+C9+C11)*365</f>
        <v>0</v>
      </c>
      <c r="K65" s="82">
        <f>AVERAGE(J38:K38)/(D8+D9+D11)*365</f>
        <v>35.224112455021547</v>
      </c>
      <c r="L65" s="82" t="s">
        <v>118</v>
      </c>
      <c r="M65" s="82">
        <f>AVERAGE(L38:M38)/(F8+F9+F10)*365</f>
        <v>198.33722993095981</v>
      </c>
    </row>
    <row r="66" spans="3:13">
      <c r="C66" s="49"/>
      <c r="D66" s="49"/>
      <c r="E66" s="49"/>
      <c r="F66" s="49"/>
      <c r="H66" s="1" t="s">
        <v>56</v>
      </c>
      <c r="I66" s="15">
        <f>(AVERAGE(I27:I27)/(B8+B9+B11)*365)</f>
        <v>100.03740388121476</v>
      </c>
      <c r="J66" s="55">
        <f>(AVERAGE(J27:J27)/(C8+C9+C11)*365)</f>
        <v>106.17147257876313</v>
      </c>
      <c r="K66" s="82">
        <f>(AVERAGE(J27:K27)/(D8+D9+D11)*365)</f>
        <v>32.416171577184791</v>
      </c>
      <c r="L66" s="82">
        <f>(AVERAGE(K27:L27)/(E8+E9+E11)*365)</f>
        <v>0</v>
      </c>
      <c r="M66" s="82">
        <f>(AVERAGE(L27:M27)/(F8+F9+F11)*365)</f>
        <v>0</v>
      </c>
    </row>
    <row r="67" spans="3:13">
      <c r="H67" s="1" t="s">
        <v>70</v>
      </c>
      <c r="I67" s="15" t="e">
        <f>(I66+I64-I65)</f>
        <v>#REF!</v>
      </c>
      <c r="J67" s="55" t="e">
        <f>(J66+J64-J65)</f>
        <v>#REF!</v>
      </c>
      <c r="K67" s="82">
        <f>(K66+K64-K65)</f>
        <v>90.701329986434075</v>
      </c>
      <c r="L67" s="82" t="e">
        <f>(L66+L64-L65)</f>
        <v>#VALUE!</v>
      </c>
      <c r="M67" s="82">
        <f>(M66+M64-M65)</f>
        <v>238.31444517902545</v>
      </c>
    </row>
    <row r="68" spans="3:13">
      <c r="H68" s="1" t="s">
        <v>57</v>
      </c>
      <c r="I68" s="15" t="e">
        <f>AVERAGE(I42:I42)/#REF!*365</f>
        <v>#REF!</v>
      </c>
      <c r="J68" s="55" t="e">
        <f>AVERAGE(J42:J42)/#REF!*365</f>
        <v>#REF!</v>
      </c>
      <c r="K68" s="82">
        <f>+K26/D4*365</f>
        <v>527.52442916542907</v>
      </c>
      <c r="L68" s="82" t="e">
        <f>+L26/E4*365</f>
        <v>#DIV/0!</v>
      </c>
      <c r="M68" s="82">
        <f>+M26/F4*365</f>
        <v>14958.776801093185</v>
      </c>
    </row>
    <row r="69" spans="3:13">
      <c r="H69" s="5" t="s">
        <v>72</v>
      </c>
      <c r="I69" s="6">
        <f>B18/I10</f>
        <v>0.1214001699441061</v>
      </c>
      <c r="J69" s="54" t="e">
        <f>C18/J10</f>
        <v>#DIV/0!</v>
      </c>
      <c r="K69" s="81" t="s">
        <v>118</v>
      </c>
      <c r="L69" s="81" t="s">
        <v>118</v>
      </c>
      <c r="M69" s="81" t="s">
        <v>118</v>
      </c>
    </row>
    <row r="70" spans="3:13">
      <c r="L70" s="58"/>
    </row>
    <row r="71" spans="3:13">
      <c r="L71" s="58"/>
    </row>
    <row r="72" spans="3:13">
      <c r="L72" s="58"/>
    </row>
    <row r="84" spans="12:12">
      <c r="L84" s="2"/>
    </row>
    <row r="85" spans="12:12">
      <c r="L85" s="2"/>
    </row>
    <row r="86" spans="12:12">
      <c r="L86" s="2"/>
    </row>
    <row r="87" spans="12:12">
      <c r="L87" s="2"/>
    </row>
  </sheetData>
  <mergeCells count="3">
    <mergeCell ref="A1:M1"/>
    <mergeCell ref="A2:F2"/>
    <mergeCell ref="H2:M2"/>
  </mergeCells>
  <pageMargins left="0.7" right="0.7" top="0.75" bottom="0.75" header="0.3" footer="0.3"/>
  <pageSetup paperSize="9" scale="4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sheet- CONSOLIDATED</vt:lpstr>
      <vt:lpstr>Standalone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2021-07-01T14:58:27Z</cp:lastPrinted>
  <dcterms:created xsi:type="dcterms:W3CDTF">2017-09-19T08:05:47Z</dcterms:created>
  <dcterms:modified xsi:type="dcterms:W3CDTF">2026-08-19T06:30:49Z</dcterms:modified>
</cp:coreProperties>
</file>