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339F9E2-1967-4122-9D0C-8BE02BC7B49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Sheet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3">'Peer Analysis Final'!$A$1:$I$51</definedName>
    <definedName name="_xlnm.Print_Area" localSheetId="1">Sheet!$A$1:$AB$79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3" i="5" l="1"/>
  <c r="O58" i="5" l="1"/>
  <c r="O61" i="5" s="1"/>
  <c r="AH60" i="5"/>
  <c r="O27" i="5"/>
  <c r="O23" i="5"/>
  <c r="O22" i="5"/>
  <c r="O21" i="5"/>
  <c r="O19" i="5"/>
  <c r="O13" i="5"/>
  <c r="O10" i="5"/>
  <c r="O7" i="5"/>
  <c r="AF6" i="5" l="1"/>
  <c r="AF61" i="5" s="1"/>
  <c r="AF64" i="5" s="1"/>
  <c r="N6" i="5"/>
  <c r="N5" i="5"/>
  <c r="N32" i="5"/>
  <c r="N31" i="5"/>
  <c r="N7" i="5"/>
  <c r="N10" i="5" s="1"/>
  <c r="N19" i="5" s="1"/>
  <c r="W77" i="5"/>
  <c r="AF71" i="5"/>
  <c r="AF70" i="5"/>
  <c r="AF63" i="5"/>
  <c r="AF60" i="5"/>
  <c r="W47" i="5"/>
  <c r="X47" i="5"/>
  <c r="Y47" i="5"/>
  <c r="Z47" i="5"/>
  <c r="AA47" i="5"/>
  <c r="AB47" i="5"/>
  <c r="AC47" i="5"/>
  <c r="AD47" i="5"/>
  <c r="AE47" i="5"/>
  <c r="AF47" i="5"/>
  <c r="V47" i="5"/>
  <c r="AF27" i="5"/>
  <c r="AF15" i="5"/>
  <c r="AF10" i="5"/>
  <c r="N58" i="5"/>
  <c r="N52" i="5"/>
  <c r="N41" i="5"/>
  <c r="AF40" i="5"/>
  <c r="AF38" i="5" s="1"/>
  <c r="M7" i="5"/>
  <c r="M6" i="5"/>
  <c r="M5" i="5"/>
  <c r="N22" i="5" l="1"/>
  <c r="N23" i="5" s="1"/>
  <c r="N21" i="5"/>
  <c r="AF46" i="5"/>
  <c r="AF11" i="5"/>
  <c r="AF69" i="5"/>
  <c r="N13" i="5"/>
  <c r="AF76" i="5"/>
  <c r="AF68" i="5"/>
  <c r="AF54" i="5"/>
  <c r="N61" i="5"/>
  <c r="AF65" i="5" s="1"/>
  <c r="M60" i="5"/>
  <c r="AF53" i="5"/>
  <c r="AF12" i="5" s="1"/>
  <c r="N51" i="5"/>
  <c r="N53" i="5" s="1"/>
  <c r="M10" i="5"/>
  <c r="M19" i="5" s="1"/>
  <c r="AE77" i="5" s="1"/>
  <c r="N11" i="5" l="1"/>
  <c r="AF77" i="5"/>
  <c r="AF67" i="5"/>
  <c r="AE60" i="5"/>
  <c r="AE63" i="5" s="1"/>
  <c r="AE70" i="5"/>
  <c r="AE71" i="5"/>
  <c r="AD71" i="5"/>
  <c r="AD70" i="5"/>
  <c r="AD60" i="5"/>
  <c r="AD63" i="5" s="1"/>
  <c r="AD38" i="5"/>
  <c r="AE27" i="5"/>
  <c r="AD27" i="5"/>
  <c r="AD46" i="5" s="1"/>
  <c r="AE15" i="5"/>
  <c r="AD15" i="5"/>
  <c r="AE10" i="5"/>
  <c r="AD10" i="5"/>
  <c r="AE6" i="5"/>
  <c r="AE61" i="5" s="1"/>
  <c r="AE64" i="5" s="1"/>
  <c r="AD6" i="5"/>
  <c r="AD61" i="5" s="1"/>
  <c r="AD64" i="5" s="1"/>
  <c r="M58" i="5"/>
  <c r="M51" i="5"/>
  <c r="L51" i="5"/>
  <c r="L53" i="5" s="1"/>
  <c r="M41" i="5"/>
  <c r="M32" i="5"/>
  <c r="L32" i="5"/>
  <c r="M31" i="5"/>
  <c r="L31" i="5"/>
  <c r="L7" i="5"/>
  <c r="L6" i="5"/>
  <c r="L5" i="5"/>
  <c r="AF66" i="5" l="1"/>
  <c r="N27" i="5"/>
  <c r="AE68" i="5"/>
  <c r="AD72" i="5"/>
  <c r="AD74" i="5" s="1"/>
  <c r="L10" i="5"/>
  <c r="L13" i="5" s="1"/>
  <c r="M59" i="5"/>
  <c r="M61" i="5" s="1"/>
  <c r="AE65" i="5" s="1"/>
  <c r="AD68" i="5"/>
  <c r="AE76" i="5"/>
  <c r="AD69" i="5"/>
  <c r="AD76" i="5"/>
  <c r="AE69" i="5"/>
  <c r="AD11" i="5"/>
  <c r="AE11" i="5"/>
  <c r="AE40" i="5"/>
  <c r="AF72" i="5" s="1"/>
  <c r="AF74" i="5" s="1"/>
  <c r="W10" i="5"/>
  <c r="W38" i="5"/>
  <c r="W27" i="5"/>
  <c r="W6" i="5"/>
  <c r="W11" i="5" s="1"/>
  <c r="M52" i="5"/>
  <c r="M53" i="5" s="1"/>
  <c r="AE38" i="5" l="1"/>
  <c r="AE46" i="5" s="1"/>
  <c r="AF75" i="5" s="1"/>
  <c r="W46" i="5"/>
  <c r="L19" i="5"/>
  <c r="AD77" i="5" s="1"/>
  <c r="M11" i="5"/>
  <c r="AE72" i="5"/>
  <c r="AE74" i="5" s="1"/>
  <c r="M13" i="5"/>
  <c r="M21" i="5"/>
  <c r="AE53" i="5"/>
  <c r="V38" i="5"/>
  <c r="X38" i="5"/>
  <c r="Y38" i="5"/>
  <c r="Z38" i="5"/>
  <c r="AA38" i="5"/>
  <c r="AB38" i="5"/>
  <c r="AE54" i="5" l="1"/>
  <c r="AE75" i="5"/>
  <c r="AE12" i="5"/>
  <c r="AE67" i="5" s="1"/>
  <c r="L21" i="5"/>
  <c r="L22" i="5"/>
  <c r="M22" i="5"/>
  <c r="L58" i="5"/>
  <c r="M27" i="5" l="1"/>
  <c r="N28" i="5" s="1"/>
  <c r="AE66" i="5"/>
  <c r="AD66" i="5"/>
  <c r="L23" i="5"/>
  <c r="M23" i="5"/>
  <c r="L41" i="5" l="1"/>
  <c r="K32" i="5"/>
  <c r="K31" i="5"/>
  <c r="L60" i="5" l="1"/>
  <c r="K5" i="5"/>
  <c r="K6" i="5"/>
  <c r="AD53" i="5"/>
  <c r="AD12" i="5" s="1"/>
  <c r="AD67" i="5" s="1"/>
  <c r="K7" i="5"/>
  <c r="K10" i="5" s="1"/>
  <c r="N12" i="5" s="1"/>
  <c r="J7" i="5"/>
  <c r="J10" i="5" s="1"/>
  <c r="M12" i="5" s="1"/>
  <c r="L59" i="5"/>
  <c r="C5" i="5"/>
  <c r="D5" i="5"/>
  <c r="G5" i="5"/>
  <c r="H5" i="5"/>
  <c r="I5" i="5"/>
  <c r="J5" i="5"/>
  <c r="H6" i="5"/>
  <c r="I6" i="5"/>
  <c r="J6" i="5"/>
  <c r="R6" i="5"/>
  <c r="R11" i="5" s="1"/>
  <c r="S6" i="5"/>
  <c r="S11" i="5" s="1"/>
  <c r="T6" i="5"/>
  <c r="T11" i="5" s="1"/>
  <c r="U6" i="5"/>
  <c r="U11" i="5" s="1"/>
  <c r="V6" i="5"/>
  <c r="V11" i="5" s="1"/>
  <c r="X6" i="5"/>
  <c r="X11" i="5" s="1"/>
  <c r="Y6" i="5"/>
  <c r="Y11" i="5" s="1"/>
  <c r="Z6" i="5"/>
  <c r="Z11" i="5" s="1"/>
  <c r="AA6" i="5"/>
  <c r="AA11" i="5" s="1"/>
  <c r="AB6" i="5"/>
  <c r="AB11" i="5" s="1"/>
  <c r="AC6" i="5"/>
  <c r="B7" i="5"/>
  <c r="C7" i="5"/>
  <c r="C10" i="5" s="1"/>
  <c r="D7" i="5"/>
  <c r="F7" i="5"/>
  <c r="F10" i="5" s="1"/>
  <c r="G7" i="5"/>
  <c r="G10" i="5" s="1"/>
  <c r="H7" i="5"/>
  <c r="H10" i="5" s="1"/>
  <c r="I7" i="5"/>
  <c r="I10" i="5" s="1"/>
  <c r="L12" i="5" s="1"/>
  <c r="R10" i="5"/>
  <c r="S10" i="5"/>
  <c r="T10" i="5"/>
  <c r="U10" i="5"/>
  <c r="V10" i="5"/>
  <c r="X10" i="5"/>
  <c r="X76" i="5" s="1"/>
  <c r="Y10" i="5"/>
  <c r="Z10" i="5"/>
  <c r="AA10" i="5"/>
  <c r="AB10" i="5"/>
  <c r="AC10" i="5"/>
  <c r="D10" i="5"/>
  <c r="D13" i="5" s="1"/>
  <c r="R15" i="5"/>
  <c r="S15" i="5"/>
  <c r="T15" i="5"/>
  <c r="U15" i="5"/>
  <c r="V15" i="5"/>
  <c r="W15" i="5"/>
  <c r="X15" i="5"/>
  <c r="Y15" i="5"/>
  <c r="Z15" i="5"/>
  <c r="AA15" i="5"/>
  <c r="AB15" i="5"/>
  <c r="AC15" i="5"/>
  <c r="B13" i="5"/>
  <c r="B19" i="5"/>
  <c r="B21" i="5" s="1"/>
  <c r="C20" i="5"/>
  <c r="D20" i="5"/>
  <c r="B23" i="5"/>
  <c r="B27" i="5"/>
  <c r="R27" i="5"/>
  <c r="S27" i="5"/>
  <c r="T27" i="5"/>
  <c r="U27" i="5"/>
  <c r="V27" i="5"/>
  <c r="X27" i="5"/>
  <c r="X46" i="5" s="1"/>
  <c r="Y27" i="5"/>
  <c r="Z27" i="5"/>
  <c r="AA27" i="5"/>
  <c r="AB27" i="5"/>
  <c r="AC27" i="5"/>
  <c r="C31" i="5"/>
  <c r="D31" i="5"/>
  <c r="G31" i="5"/>
  <c r="H31" i="5"/>
  <c r="I31" i="5"/>
  <c r="J31" i="5"/>
  <c r="H32" i="5"/>
  <c r="I32" i="5"/>
  <c r="J32" i="5"/>
  <c r="F37" i="5"/>
  <c r="G37" i="5"/>
  <c r="H37" i="5"/>
  <c r="F38" i="5"/>
  <c r="F51" i="5" s="1"/>
  <c r="G38" i="5"/>
  <c r="G51" i="5" s="1"/>
  <c r="H38" i="5"/>
  <c r="H51" i="5" s="1"/>
  <c r="R38" i="5"/>
  <c r="S38" i="5"/>
  <c r="T38" i="5"/>
  <c r="U38" i="5"/>
  <c r="AC38" i="5"/>
  <c r="F39" i="5"/>
  <c r="G39" i="5"/>
  <c r="H39" i="5"/>
  <c r="F40" i="5"/>
  <c r="G40" i="5"/>
  <c r="H40" i="5"/>
  <c r="B41" i="5"/>
  <c r="B42" i="5" s="1"/>
  <c r="C41" i="5"/>
  <c r="C42" i="5" s="1"/>
  <c r="D41" i="5"/>
  <c r="D42" i="5" s="1"/>
  <c r="F41" i="5"/>
  <c r="G41" i="5"/>
  <c r="H41" i="5"/>
  <c r="J41" i="5"/>
  <c r="J42" i="5" s="1"/>
  <c r="K41" i="5"/>
  <c r="K42" i="5" s="1"/>
  <c r="L37" i="5" s="1"/>
  <c r="L42" i="5" s="1"/>
  <c r="I42" i="5"/>
  <c r="B51" i="5"/>
  <c r="C51" i="5"/>
  <c r="D51" i="5"/>
  <c r="I51" i="5"/>
  <c r="I53" i="5" s="1"/>
  <c r="J51" i="5"/>
  <c r="J53" i="5" s="1"/>
  <c r="K51" i="5"/>
  <c r="K53" i="5" s="1"/>
  <c r="C52" i="5"/>
  <c r="D52" i="5"/>
  <c r="F52" i="5"/>
  <c r="G52" i="5"/>
  <c r="H52" i="5"/>
  <c r="AC70" i="5"/>
  <c r="AB70" i="5"/>
  <c r="AB71" i="5"/>
  <c r="K60" i="5"/>
  <c r="K58" i="5"/>
  <c r="AC60" i="5"/>
  <c r="AC63" i="5" s="1"/>
  <c r="AC71" i="5"/>
  <c r="AB60" i="5"/>
  <c r="AB63" i="5" s="1"/>
  <c r="M37" i="5" l="1"/>
  <c r="M42" i="5" s="1"/>
  <c r="N37" i="5" s="1"/>
  <c r="N42" i="5" s="1"/>
  <c r="L61" i="5"/>
  <c r="AD65" i="5" s="1"/>
  <c r="K19" i="5"/>
  <c r="AC77" i="5" s="1"/>
  <c r="L11" i="5"/>
  <c r="D53" i="5"/>
  <c r="C53" i="5"/>
  <c r="D19" i="5"/>
  <c r="D11" i="5"/>
  <c r="J19" i="5"/>
  <c r="Z53" i="5"/>
  <c r="Z12" i="5" s="1"/>
  <c r="AC61" i="5"/>
  <c r="AC64" i="5" s="1"/>
  <c r="AC11" i="5"/>
  <c r="AD54" i="5"/>
  <c r="F53" i="5"/>
  <c r="H53" i="5"/>
  <c r="W54" i="5"/>
  <c r="AA54" i="5"/>
  <c r="S54" i="5"/>
  <c r="V46" i="5"/>
  <c r="Z54" i="5"/>
  <c r="R46" i="5"/>
  <c r="F13" i="5"/>
  <c r="F19" i="5"/>
  <c r="X77" i="5" s="1"/>
  <c r="AC53" i="5"/>
  <c r="AC12" i="5" s="1"/>
  <c r="AC67" i="5" s="1"/>
  <c r="U53" i="5"/>
  <c r="U12" i="5" s="1"/>
  <c r="X54" i="5"/>
  <c r="V53" i="5"/>
  <c r="V12" i="5" s="1"/>
  <c r="R53" i="5"/>
  <c r="R12" i="5" s="1"/>
  <c r="R13" i="5" s="1"/>
  <c r="H42" i="5"/>
  <c r="Y46" i="5"/>
  <c r="AC54" i="5"/>
  <c r="X53" i="5"/>
  <c r="X12" i="5" s="1"/>
  <c r="AB54" i="5"/>
  <c r="T54" i="5"/>
  <c r="F42" i="5"/>
  <c r="W53" i="5"/>
  <c r="W12" i="5" s="1"/>
  <c r="I12" i="5"/>
  <c r="I19" i="5"/>
  <c r="H11" i="5"/>
  <c r="H12" i="5"/>
  <c r="H19" i="5"/>
  <c r="H13" i="5"/>
  <c r="G13" i="5"/>
  <c r="G11" i="5"/>
  <c r="G19" i="5"/>
  <c r="G53" i="5"/>
  <c r="C11" i="5"/>
  <c r="R54" i="5"/>
  <c r="C19" i="5"/>
  <c r="Y53" i="5"/>
  <c r="Y12" i="5" s="1"/>
  <c r="AC46" i="5"/>
  <c r="AD75" i="5" s="1"/>
  <c r="U46" i="5"/>
  <c r="AB53" i="5"/>
  <c r="AB12" i="5" s="1"/>
  <c r="T53" i="5"/>
  <c r="T12" i="5" s="1"/>
  <c r="AB46" i="5"/>
  <c r="T46" i="5"/>
  <c r="C13" i="5"/>
  <c r="Z46" i="5"/>
  <c r="AA46" i="5"/>
  <c r="S46" i="5"/>
  <c r="U54" i="5"/>
  <c r="G42" i="5"/>
  <c r="Y54" i="5"/>
  <c r="J13" i="5"/>
  <c r="K13" i="5"/>
  <c r="K12" i="5"/>
  <c r="K11" i="5"/>
  <c r="I11" i="5"/>
  <c r="AA53" i="5"/>
  <c r="AA12" i="5" s="1"/>
  <c r="S53" i="5"/>
  <c r="S12" i="5" s="1"/>
  <c r="I13" i="5"/>
  <c r="J11" i="5"/>
  <c r="V54" i="5"/>
  <c r="J12" i="5"/>
  <c r="K59" i="5"/>
  <c r="K61" i="5" s="1"/>
  <c r="AC65" i="5" s="1"/>
  <c r="AC76" i="5"/>
  <c r="AA72" i="5"/>
  <c r="AC69" i="5"/>
  <c r="AC68" i="5"/>
  <c r="AA71" i="5"/>
  <c r="D21" i="5" l="1"/>
  <c r="V77" i="5"/>
  <c r="I21" i="5"/>
  <c r="AA77" i="5"/>
  <c r="G21" i="5"/>
  <c r="Y77" i="5"/>
  <c r="H21" i="5"/>
  <c r="Z77" i="5"/>
  <c r="J22" i="5"/>
  <c r="M24" i="5" s="1"/>
  <c r="AB77" i="5"/>
  <c r="D22" i="5"/>
  <c r="D23" i="5" s="1"/>
  <c r="J21" i="5"/>
  <c r="G22" i="5"/>
  <c r="I22" i="5"/>
  <c r="L24" i="5" s="1"/>
  <c r="F22" i="5"/>
  <c r="F21" i="5"/>
  <c r="C22" i="5"/>
  <c r="C21" i="5"/>
  <c r="H22" i="5"/>
  <c r="H23" i="5" s="1"/>
  <c r="K22" i="5"/>
  <c r="K21" i="5"/>
  <c r="G27" i="5"/>
  <c r="AA65" i="5"/>
  <c r="G34" i="7"/>
  <c r="I34" i="7"/>
  <c r="I33" i="7"/>
  <c r="G33" i="7"/>
  <c r="E33" i="7"/>
  <c r="I28" i="7"/>
  <c r="G28" i="7"/>
  <c r="E28" i="7"/>
  <c r="I38" i="7"/>
  <c r="G38" i="7"/>
  <c r="E38" i="7"/>
  <c r="E34" i="7"/>
  <c r="H38" i="7"/>
  <c r="D38" i="7"/>
  <c r="F38" i="7"/>
  <c r="D27" i="5" l="1"/>
  <c r="J23" i="5"/>
  <c r="J24" i="5"/>
  <c r="J27" i="5"/>
  <c r="M29" i="5" s="1"/>
  <c r="G23" i="5"/>
  <c r="I23" i="5"/>
  <c r="I27" i="5"/>
  <c r="H27" i="5"/>
  <c r="H28" i="5" s="1"/>
  <c r="I24" i="5"/>
  <c r="F23" i="5"/>
  <c r="F27" i="5"/>
  <c r="G28" i="5" s="1"/>
  <c r="H24" i="5"/>
  <c r="K24" i="5"/>
  <c r="AC66" i="5"/>
  <c r="C27" i="5"/>
  <c r="C23" i="5"/>
  <c r="K27" i="5"/>
  <c r="N29" i="5" s="1"/>
  <c r="K23" i="5"/>
  <c r="J29" i="5"/>
  <c r="C37" i="7"/>
  <c r="C27" i="7"/>
  <c r="C24" i="7"/>
  <c r="C21" i="7"/>
  <c r="C43" i="7"/>
  <c r="C25" i="7"/>
  <c r="J60" i="5"/>
  <c r="J58" i="5"/>
  <c r="C28" i="7" s="1"/>
  <c r="C14" i="7"/>
  <c r="C6" i="7"/>
  <c r="C32" i="7"/>
  <c r="C31" i="7"/>
  <c r="I28" i="5" l="1"/>
  <c r="J28" i="5"/>
  <c r="I29" i="5"/>
  <c r="K29" i="5"/>
  <c r="K28" i="5"/>
  <c r="H29" i="5"/>
  <c r="C28" i="5"/>
  <c r="D28" i="5"/>
  <c r="AB76" i="5"/>
  <c r="J59" i="5" l="1"/>
  <c r="J61" i="5" s="1"/>
  <c r="AB69" i="5"/>
  <c r="C49" i="7" s="1"/>
  <c r="AB68" i="5"/>
  <c r="C48" i="7" s="1"/>
  <c r="C18" i="7"/>
  <c r="C38" i="7" s="1"/>
  <c r="AB61" i="5"/>
  <c r="C51" i="7"/>
  <c r="C19" i="7"/>
  <c r="AC75" i="5"/>
  <c r="C39" i="7" l="1"/>
  <c r="AB64" i="5"/>
  <c r="C33" i="7" s="1"/>
  <c r="C29" i="7"/>
  <c r="B37" i="7"/>
  <c r="B24" i="7"/>
  <c r="B21" i="7"/>
  <c r="B20" i="7"/>
  <c r="B14" i="7"/>
  <c r="B6" i="7"/>
  <c r="Y71" i="5"/>
  <c r="Z71" i="5"/>
  <c r="Y70" i="5"/>
  <c r="Z70" i="5"/>
  <c r="AA70" i="5"/>
  <c r="B32" i="7" s="1"/>
  <c r="I60" i="5"/>
  <c r="H60" i="5"/>
  <c r="I58" i="5"/>
  <c r="B28" i="7" s="1"/>
  <c r="B25" i="7"/>
  <c r="AA60" i="5"/>
  <c r="AA63" i="5" s="1"/>
  <c r="B31" i="7" s="1"/>
  <c r="Y60" i="5"/>
  <c r="Y63" i="5" s="1"/>
  <c r="Z60" i="5"/>
  <c r="Z63" i="5" s="1"/>
  <c r="B43" i="7" l="1"/>
  <c r="B7" i="7"/>
  <c r="AA61" i="5" l="1"/>
  <c r="I59" i="5" l="1"/>
  <c r="I61" i="5" s="1"/>
  <c r="AA76" i="5"/>
  <c r="B51" i="7"/>
  <c r="B19" i="7"/>
  <c r="B18" i="7"/>
  <c r="B38" i="7" s="1"/>
  <c r="AA69" i="5"/>
  <c r="B49" i="7" s="1"/>
  <c r="AA68" i="5"/>
  <c r="B48" i="7" s="1"/>
  <c r="B29" i="7" l="1"/>
  <c r="AB75" i="5"/>
  <c r="C47" i="7" s="1"/>
  <c r="B39" i="7"/>
  <c r="AA64" i="5"/>
  <c r="B33" i="7" s="1"/>
  <c r="E19" i="7" l="1"/>
  <c r="H58" i="5" l="1"/>
  <c r="J60" i="4"/>
  <c r="T73" i="4"/>
  <c r="T62" i="4"/>
  <c r="J62" i="4"/>
  <c r="I51" i="4"/>
  <c r="J54" i="4"/>
  <c r="J53" i="4"/>
  <c r="J52" i="4"/>
  <c r="J49" i="4"/>
  <c r="J44" i="4"/>
  <c r="T29" i="4"/>
  <c r="J34" i="4"/>
  <c r="J33" i="4"/>
  <c r="J7" i="4"/>
  <c r="J13" i="4" s="1"/>
  <c r="J6" i="4"/>
  <c r="J5" i="4"/>
  <c r="Z76" i="5"/>
  <c r="Z61" i="5" l="1"/>
  <c r="Z64" i="5" s="1"/>
  <c r="J55" i="4"/>
  <c r="T74" i="4"/>
  <c r="J63" i="4"/>
  <c r="T67" i="4" s="1"/>
  <c r="Z68" i="5"/>
  <c r="Z69" i="5"/>
  <c r="J16" i="4"/>
  <c r="J21" i="4"/>
  <c r="T79" i="4"/>
  <c r="AA75" i="5" l="1"/>
  <c r="B47" i="7" s="1"/>
  <c r="J48" i="4"/>
  <c r="J23" i="4"/>
  <c r="J24" i="4"/>
  <c r="I54" i="4"/>
  <c r="H54" i="4"/>
  <c r="G54" i="4"/>
  <c r="H53" i="4"/>
  <c r="G53" i="4"/>
  <c r="I43" i="4"/>
  <c r="I42" i="4"/>
  <c r="I41" i="4"/>
  <c r="I39" i="4"/>
  <c r="I40" i="4"/>
  <c r="I53" i="4" s="1"/>
  <c r="V71" i="5"/>
  <c r="W71" i="5"/>
  <c r="V70" i="5"/>
  <c r="W70" i="5"/>
  <c r="J29" i="4" l="1"/>
  <c r="J25" i="4"/>
  <c r="X71" i="5"/>
  <c r="X70" i="5"/>
  <c r="X60" i="5"/>
  <c r="X63" i="5" s="1"/>
  <c r="B29" i="6" l="1"/>
  <c r="L19" i="6" l="1"/>
  <c r="L18" i="6"/>
  <c r="L15" i="6"/>
  <c r="L14" i="6"/>
  <c r="L11" i="6"/>
  <c r="L10" i="6"/>
  <c r="L7" i="6"/>
  <c r="L6" i="6"/>
  <c r="K7" i="6"/>
  <c r="J11" i="6"/>
  <c r="J10" i="6"/>
  <c r="I16" i="6"/>
  <c r="J7" i="6"/>
  <c r="J6" i="6"/>
  <c r="I6" i="6"/>
  <c r="I7" i="6"/>
  <c r="B20" i="6"/>
  <c r="B19" i="6"/>
  <c r="B17" i="6"/>
  <c r="B16" i="6"/>
  <c r="B14" i="6"/>
  <c r="B7" i="6"/>
  <c r="H50" i="4"/>
  <c r="I50" i="4"/>
  <c r="G50" i="4"/>
  <c r="H51" i="4"/>
  <c r="G51" i="4"/>
  <c r="H34" i="4" l="1"/>
  <c r="G60" i="5"/>
  <c r="F60" i="5"/>
  <c r="B58" i="5"/>
  <c r="C58" i="5"/>
  <c r="D58" i="5"/>
  <c r="F58" i="5"/>
  <c r="G58" i="5"/>
  <c r="B60" i="5"/>
  <c r="C60" i="5"/>
  <c r="D60" i="5"/>
  <c r="H62" i="4"/>
  <c r="I62" i="4"/>
  <c r="G62" i="4"/>
  <c r="H6" i="4" l="1"/>
  <c r="G44" i="4" l="1"/>
  <c r="I44" i="4"/>
  <c r="H44" i="4"/>
  <c r="I42" i="6" l="1"/>
  <c r="I31" i="6"/>
  <c r="I29" i="6"/>
  <c r="I26" i="6"/>
  <c r="I44" i="6" l="1"/>
  <c r="I43" i="6"/>
  <c r="I27" i="6"/>
  <c r="T72" i="4"/>
  <c r="H60" i="4"/>
  <c r="I63" i="4"/>
  <c r="W60" i="5" l="1"/>
  <c r="W63" i="5" s="1"/>
  <c r="T65" i="4" l="1"/>
  <c r="I34" i="4"/>
  <c r="I33" i="4"/>
  <c r="I6" i="4"/>
  <c r="I5" i="4"/>
  <c r="T41" i="4" l="1"/>
  <c r="T6" i="4"/>
  <c r="T10" i="4"/>
  <c r="T15" i="4"/>
  <c r="Y76" i="5"/>
  <c r="Y61" i="5" l="1"/>
  <c r="Y64" i="5" s="1"/>
  <c r="I49" i="6"/>
  <c r="Y68" i="5"/>
  <c r="I40" i="6" s="1"/>
  <c r="Y69" i="5"/>
  <c r="I41" i="6" s="1"/>
  <c r="T63" i="4"/>
  <c r="T66" i="4" s="1"/>
  <c r="T68" i="4"/>
  <c r="T56" i="4"/>
  <c r="T71" i="4"/>
  <c r="T70" i="4"/>
  <c r="T11" i="4"/>
  <c r="T69" i="4" s="1"/>
  <c r="T55" i="4"/>
  <c r="T12" i="4" s="1"/>
  <c r="T49" i="4"/>
  <c r="Z75" i="5"/>
  <c r="I33" i="6" l="1"/>
  <c r="I35" i="6"/>
  <c r="I7" i="4" l="1"/>
  <c r="I13" i="4" l="1"/>
  <c r="J14" i="4" s="1"/>
  <c r="T75" i="4"/>
  <c r="T76" i="4" l="1"/>
  <c r="I46" i="6"/>
  <c r="I16" i="4"/>
  <c r="I21" i="4"/>
  <c r="I23" i="4" s="1"/>
  <c r="S73" i="4"/>
  <c r="R73" i="4"/>
  <c r="Q73" i="4"/>
  <c r="P73" i="4"/>
  <c r="O73" i="4"/>
  <c r="I55" i="4" l="1"/>
  <c r="I24" i="4"/>
  <c r="H5" i="4"/>
  <c r="G5" i="4"/>
  <c r="F5" i="4"/>
  <c r="E5" i="4"/>
  <c r="D5" i="4"/>
  <c r="T71" i="5"/>
  <c r="S71" i="5"/>
  <c r="R71" i="5"/>
  <c r="I29" i="4" l="1"/>
  <c r="J30" i="4" s="1"/>
  <c r="I25" i="4"/>
  <c r="D27" i="6" l="1"/>
  <c r="E27" i="6"/>
  <c r="C27" i="6"/>
  <c r="F21" i="7"/>
  <c r="F20" i="7"/>
  <c r="D13" i="7" l="1"/>
  <c r="H13" i="7"/>
  <c r="B27" i="7"/>
  <c r="I19" i="6"/>
  <c r="I18" i="6"/>
  <c r="I15" i="6"/>
  <c r="I14" i="6"/>
  <c r="I13" i="6"/>
  <c r="I12" i="6"/>
  <c r="C7" i="6"/>
  <c r="D7" i="6"/>
  <c r="E7" i="6"/>
  <c r="J8" i="6"/>
  <c r="K8" i="6"/>
  <c r="L8" i="6"/>
  <c r="J46" i="6"/>
  <c r="J9" i="6"/>
  <c r="K9" i="6"/>
  <c r="L9" i="6"/>
  <c r="C14" i="6"/>
  <c r="D9" i="7" s="1"/>
  <c r="E14" i="6"/>
  <c r="H9" i="7" s="1"/>
  <c r="J29" i="6"/>
  <c r="J20" i="6"/>
  <c r="J48" i="6" s="1"/>
  <c r="K20" i="6"/>
  <c r="K48" i="6" s="1"/>
  <c r="L20" i="6"/>
  <c r="L48" i="6" s="1"/>
  <c r="J27" i="6"/>
  <c r="L29" i="6"/>
  <c r="J32" i="6"/>
  <c r="J34" i="6" s="1"/>
  <c r="K32" i="6"/>
  <c r="K34" i="6" s="1"/>
  <c r="L32" i="6"/>
  <c r="L34" i="6" s="1"/>
  <c r="J33" i="6"/>
  <c r="K33" i="6"/>
  <c r="L33" i="6"/>
  <c r="J37" i="6"/>
  <c r="K37" i="6"/>
  <c r="L37" i="6"/>
  <c r="J43" i="6"/>
  <c r="K43" i="6"/>
  <c r="L43" i="6"/>
  <c r="J44" i="6"/>
  <c r="K44" i="6"/>
  <c r="L44" i="6"/>
  <c r="L45" i="6"/>
  <c r="L46" i="6"/>
  <c r="J39" i="6"/>
  <c r="K39" i="6"/>
  <c r="L39" i="6"/>
  <c r="J50" i="6"/>
  <c r="K50" i="6"/>
  <c r="L50" i="6"/>
  <c r="K38" i="6" l="1"/>
  <c r="J38" i="6"/>
  <c r="L40" i="6"/>
  <c r="L49" i="6"/>
  <c r="K40" i="6"/>
  <c r="K49" i="6"/>
  <c r="L38" i="6"/>
  <c r="J28" i="6"/>
  <c r="J30" i="6" s="1"/>
  <c r="J49" i="6"/>
  <c r="L28" i="6"/>
  <c r="L35" i="6"/>
  <c r="K35" i="6"/>
  <c r="J35" i="6"/>
  <c r="K41" i="6"/>
  <c r="F10" i="7"/>
  <c r="F13" i="7"/>
  <c r="I32" i="6"/>
  <c r="J45" i="6"/>
  <c r="H10" i="7"/>
  <c r="D10" i="7"/>
  <c r="I8" i="6"/>
  <c r="K29" i="6"/>
  <c r="J40" i="6"/>
  <c r="D14" i="6"/>
  <c r="F9" i="7" s="1"/>
  <c r="K45" i="6"/>
  <c r="L30" i="6"/>
  <c r="H19" i="7"/>
  <c r="D19" i="7"/>
  <c r="L47" i="6"/>
  <c r="K28" i="6"/>
  <c r="I19" i="7"/>
  <c r="F19" i="7"/>
  <c r="K46" i="6"/>
  <c r="L41" i="6"/>
  <c r="J41" i="6"/>
  <c r="L36" i="6" l="1"/>
  <c r="J36" i="6"/>
  <c r="J47" i="6"/>
  <c r="K47" i="6"/>
  <c r="K30" i="6"/>
  <c r="I10" i="7"/>
  <c r="I13" i="7"/>
  <c r="K36" i="6" l="1"/>
  <c r="D54" i="4"/>
  <c r="R29" i="4" l="1"/>
  <c r="C22" i="4" l="1"/>
  <c r="S72" i="4"/>
  <c r="I10" i="6" l="1"/>
  <c r="I39" i="6" s="1"/>
  <c r="B42" i="7" s="1"/>
  <c r="S29" i="4"/>
  <c r="P15" i="4"/>
  <c r="Q15" i="4"/>
  <c r="R15" i="4"/>
  <c r="S15" i="4"/>
  <c r="O15" i="4"/>
  <c r="H33" i="4"/>
  <c r="H7" i="4"/>
  <c r="T73" i="5"/>
  <c r="S73" i="5"/>
  <c r="T72" i="5"/>
  <c r="S72" i="5"/>
  <c r="U70" i="5"/>
  <c r="T70" i="5"/>
  <c r="S70" i="5"/>
  <c r="R70" i="5"/>
  <c r="V60" i="5"/>
  <c r="V63" i="5" s="1"/>
  <c r="U60" i="5"/>
  <c r="U63" i="5" s="1"/>
  <c r="T60" i="5"/>
  <c r="T63" i="5" s="1"/>
  <c r="S60" i="5"/>
  <c r="S63" i="5" s="1"/>
  <c r="R60" i="5"/>
  <c r="R63" i="5" s="1"/>
  <c r="W76" i="5"/>
  <c r="V76" i="5"/>
  <c r="D59" i="5"/>
  <c r="D61" i="5" s="1"/>
  <c r="C59" i="5"/>
  <c r="C61" i="5" s="1"/>
  <c r="B59" i="5"/>
  <c r="B61" i="5" s="1"/>
  <c r="U72" i="5"/>
  <c r="X61" i="5"/>
  <c r="W61" i="5"/>
  <c r="W64" i="5" s="1"/>
  <c r="V61" i="5"/>
  <c r="V64" i="5" s="1"/>
  <c r="U61" i="5"/>
  <c r="U64" i="5" s="1"/>
  <c r="H59" i="5" l="1"/>
  <c r="H61" i="5" s="1"/>
  <c r="G59" i="5"/>
  <c r="G61" i="5" s="1"/>
  <c r="W68" i="5"/>
  <c r="W69" i="5"/>
  <c r="X68" i="5"/>
  <c r="X69" i="5"/>
  <c r="X64" i="5"/>
  <c r="F59" i="5"/>
  <c r="F61" i="5" s="1"/>
  <c r="V69" i="5"/>
  <c r="V68" i="5"/>
  <c r="I5" i="6"/>
  <c r="I34" i="6"/>
  <c r="I28" i="6"/>
  <c r="I11" i="6"/>
  <c r="I17" i="6"/>
  <c r="H13" i="4"/>
  <c r="S74" i="4"/>
  <c r="S75" i="4"/>
  <c r="U71" i="5"/>
  <c r="R61" i="5"/>
  <c r="R64" i="5" s="1"/>
  <c r="T61" i="5"/>
  <c r="T64" i="5" s="1"/>
  <c r="S61" i="5"/>
  <c r="S64" i="5" s="1"/>
  <c r="U76" i="5"/>
  <c r="U73" i="5"/>
  <c r="S74" i="5"/>
  <c r="T68" i="5"/>
  <c r="R69" i="5"/>
  <c r="T74" i="5"/>
  <c r="T76" i="5"/>
  <c r="S76" i="5"/>
  <c r="S69" i="5"/>
  <c r="S68" i="5"/>
  <c r="U69" i="5"/>
  <c r="U68" i="5"/>
  <c r="Y75" i="5"/>
  <c r="R68" i="5"/>
  <c r="T69" i="5"/>
  <c r="X75" i="5" l="1"/>
  <c r="I48" i="6"/>
  <c r="I30" i="6"/>
  <c r="I20" i="6"/>
  <c r="I9" i="6"/>
  <c r="H21" i="4"/>
  <c r="H55" i="4" s="1"/>
  <c r="I14" i="4"/>
  <c r="T75" i="5"/>
  <c r="B44" i="7"/>
  <c r="H16" i="4"/>
  <c r="W75" i="5"/>
  <c r="U74" i="5"/>
  <c r="S75" i="5"/>
  <c r="R65" i="5"/>
  <c r="U65" i="5"/>
  <c r="V75" i="5" l="1"/>
  <c r="U75" i="5"/>
  <c r="U77" i="5"/>
  <c r="U67" i="5"/>
  <c r="R67" i="5"/>
  <c r="R66" i="5"/>
  <c r="U66" i="5" l="1"/>
  <c r="S62" i="4" l="1"/>
  <c r="D22" i="4"/>
  <c r="Q29" i="4"/>
  <c r="P29" i="4"/>
  <c r="N75" i="4" l="1"/>
  <c r="O75" i="4"/>
  <c r="P75" i="4"/>
  <c r="O74" i="4"/>
  <c r="P74" i="4"/>
  <c r="S65" i="4"/>
  <c r="N41" i="4"/>
  <c r="O41" i="4"/>
  <c r="P41" i="4"/>
  <c r="Q41" i="4"/>
  <c r="R41" i="4"/>
  <c r="N29" i="4"/>
  <c r="O29" i="4"/>
  <c r="O55" i="4" s="1"/>
  <c r="P55" i="4"/>
  <c r="N10" i="4"/>
  <c r="O10" i="4"/>
  <c r="P10" i="4"/>
  <c r="Q10" i="4"/>
  <c r="G61" i="4" s="1"/>
  <c r="R10" i="4"/>
  <c r="N6" i="4"/>
  <c r="N11" i="4" s="1"/>
  <c r="O6" i="4"/>
  <c r="O11" i="4" s="1"/>
  <c r="P6" i="4"/>
  <c r="P11" i="4" s="1"/>
  <c r="Q6" i="4"/>
  <c r="Q11" i="4" s="1"/>
  <c r="R6" i="4"/>
  <c r="R11" i="4" s="1"/>
  <c r="C7" i="4"/>
  <c r="C13" i="4" s="1"/>
  <c r="D7" i="4"/>
  <c r="D13" i="4" s="1"/>
  <c r="E7" i="4"/>
  <c r="E13" i="4" s="1"/>
  <c r="Q56" i="4" l="1"/>
  <c r="R56" i="4"/>
  <c r="E16" i="4"/>
  <c r="P69" i="4"/>
  <c r="E21" i="4"/>
  <c r="D16" i="4"/>
  <c r="D21" i="4"/>
  <c r="C16" i="4"/>
  <c r="C21" i="4"/>
  <c r="S76" i="4"/>
  <c r="N49" i="4"/>
  <c r="P49" i="4"/>
  <c r="O56" i="4"/>
  <c r="O79" i="4"/>
  <c r="P79" i="4"/>
  <c r="O49" i="4"/>
  <c r="P56" i="4"/>
  <c r="N56" i="4"/>
  <c r="P76" i="4"/>
  <c r="O76" i="4"/>
  <c r="M29" i="4"/>
  <c r="P77" i="4" l="1"/>
  <c r="O77" i="4"/>
  <c r="D51" i="4"/>
  <c r="E25" i="4"/>
  <c r="D14" i="4"/>
  <c r="D23" i="4"/>
  <c r="E14" i="4"/>
  <c r="C24" i="4"/>
  <c r="C25" i="4" s="1"/>
  <c r="C23" i="4"/>
  <c r="N73" i="4"/>
  <c r="D62" i="4"/>
  <c r="C62" i="4"/>
  <c r="B62" i="4"/>
  <c r="N74" i="4"/>
  <c r="G60" i="4"/>
  <c r="D60" i="4"/>
  <c r="C60" i="4"/>
  <c r="B60" i="4"/>
  <c r="R72" i="4"/>
  <c r="Q72" i="4"/>
  <c r="P72" i="4"/>
  <c r="O72" i="4"/>
  <c r="N72" i="4"/>
  <c r="M72" i="4"/>
  <c r="C54" i="4"/>
  <c r="D52" i="4"/>
  <c r="C52" i="4"/>
  <c r="B52" i="4"/>
  <c r="D50" i="4"/>
  <c r="C50" i="4"/>
  <c r="B50" i="4"/>
  <c r="D49" i="4"/>
  <c r="C49" i="4"/>
  <c r="B49" i="4"/>
  <c r="R62" i="4"/>
  <c r="R65" i="4" s="1"/>
  <c r="Q62" i="4"/>
  <c r="Q65" i="4" s="1"/>
  <c r="P62" i="4"/>
  <c r="P65" i="4" s="1"/>
  <c r="O62" i="4"/>
  <c r="O65" i="4" s="1"/>
  <c r="N62" i="4"/>
  <c r="N65" i="4" s="1"/>
  <c r="M62" i="4"/>
  <c r="M65" i="4" s="1"/>
  <c r="D43" i="4"/>
  <c r="D44" i="4" s="1"/>
  <c r="C43" i="4"/>
  <c r="C44" i="4" s="1"/>
  <c r="B43" i="4"/>
  <c r="B44" i="4" s="1"/>
  <c r="G33" i="4"/>
  <c r="F33" i="4"/>
  <c r="E33" i="4"/>
  <c r="D33" i="4"/>
  <c r="C33" i="4"/>
  <c r="M41" i="4"/>
  <c r="M55" i="4"/>
  <c r="P78" i="4"/>
  <c r="M10" i="4"/>
  <c r="B7" i="4"/>
  <c r="B13" i="4" s="1"/>
  <c r="B16" i="4" s="1"/>
  <c r="R63" i="4"/>
  <c r="R66" i="4" s="1"/>
  <c r="Q63" i="4"/>
  <c r="Q66" i="4" s="1"/>
  <c r="P63" i="4"/>
  <c r="P66" i="4" s="1"/>
  <c r="O63" i="4"/>
  <c r="O66" i="4" s="1"/>
  <c r="N63" i="4"/>
  <c r="N66" i="4" s="1"/>
  <c r="M6" i="4"/>
  <c r="M11" i="4" s="1"/>
  <c r="S6" i="4"/>
  <c r="S11" i="4" s="1"/>
  <c r="S79" i="4" l="1"/>
  <c r="E23" i="4"/>
  <c r="H23" i="4"/>
  <c r="R49" i="4"/>
  <c r="R55" i="4"/>
  <c r="R12" i="4" s="1"/>
  <c r="Q49" i="4"/>
  <c r="Q55" i="4"/>
  <c r="D24" i="4"/>
  <c r="S55" i="4"/>
  <c r="M56" i="4"/>
  <c r="C5" i="4"/>
  <c r="Q74" i="4"/>
  <c r="F7" i="4"/>
  <c r="Q75" i="4"/>
  <c r="R75" i="4"/>
  <c r="R74" i="4"/>
  <c r="G7" i="4"/>
  <c r="S10" i="4"/>
  <c r="S41" i="4"/>
  <c r="B21" i="4"/>
  <c r="B24" i="4" s="1"/>
  <c r="B25" i="4" s="1"/>
  <c r="E29" i="4"/>
  <c r="P68" i="4"/>
  <c r="C29" i="4"/>
  <c r="N68" i="4"/>
  <c r="C61" i="4"/>
  <c r="C63" i="4" s="1"/>
  <c r="N67" i="4" s="1"/>
  <c r="N78" i="4"/>
  <c r="G63" i="4"/>
  <c r="O69" i="4"/>
  <c r="M49" i="4"/>
  <c r="C51" i="4" s="1"/>
  <c r="M63" i="4"/>
  <c r="M66" i="4" s="1"/>
  <c r="N76" i="4"/>
  <c r="M12" i="4"/>
  <c r="O12" i="4"/>
  <c r="S63" i="4"/>
  <c r="S66" i="4" s="1"/>
  <c r="B61" i="4"/>
  <c r="B63" i="4" s="1"/>
  <c r="M70" i="4"/>
  <c r="O78" i="4"/>
  <c r="D61" i="4"/>
  <c r="O70" i="4"/>
  <c r="Q78" i="4"/>
  <c r="Q70" i="4"/>
  <c r="N55" i="4"/>
  <c r="N12" i="4" s="1"/>
  <c r="P12" i="4"/>
  <c r="P70" i="4"/>
  <c r="M71" i="4"/>
  <c r="Q71" i="4"/>
  <c r="N71" i="4"/>
  <c r="P71" i="4"/>
  <c r="R71" i="4"/>
  <c r="N70" i="4"/>
  <c r="R70" i="4"/>
  <c r="O71" i="4"/>
  <c r="S56" i="4" l="1"/>
  <c r="R77" i="4"/>
  <c r="Q77" i="4"/>
  <c r="O68" i="4"/>
  <c r="D25" i="4"/>
  <c r="G13" i="4"/>
  <c r="R69" i="4" s="1"/>
  <c r="F13" i="4"/>
  <c r="S12" i="4"/>
  <c r="D29" i="4"/>
  <c r="M67" i="4"/>
  <c r="Q76" i="4"/>
  <c r="S70" i="4"/>
  <c r="R76" i="4"/>
  <c r="H24" i="4"/>
  <c r="S71" i="4"/>
  <c r="S49" i="4"/>
  <c r="P67" i="4"/>
  <c r="D63" i="4"/>
  <c r="O67" i="4" s="1"/>
  <c r="H63" i="4"/>
  <c r="S67" i="4" s="1"/>
  <c r="C48" i="4"/>
  <c r="C14" i="4"/>
  <c r="D48" i="4"/>
  <c r="B29" i="4"/>
  <c r="N77" i="4"/>
  <c r="Q12" i="4"/>
  <c r="M69" i="4"/>
  <c r="B48" i="4"/>
  <c r="B53" i="4" s="1"/>
  <c r="B55" i="4" s="1"/>
  <c r="B23" i="4"/>
  <c r="S69" i="4"/>
  <c r="N69" i="4"/>
  <c r="R67" i="4" l="1"/>
  <c r="G21" i="4"/>
  <c r="J15" i="4"/>
  <c r="I15" i="4"/>
  <c r="H15" i="4"/>
  <c r="H25" i="4"/>
  <c r="H14" i="4"/>
  <c r="S77" i="4"/>
  <c r="T77" i="4"/>
  <c r="G14" i="4"/>
  <c r="Q67" i="4"/>
  <c r="F16" i="4"/>
  <c r="F21" i="4"/>
  <c r="F23" i="4" s="1"/>
  <c r="G16" i="4"/>
  <c r="G24" i="4"/>
  <c r="F14" i="4"/>
  <c r="Q79" i="4"/>
  <c r="Q69" i="4"/>
  <c r="R79" i="4"/>
  <c r="H29" i="4"/>
  <c r="S68" i="4"/>
  <c r="D53" i="4"/>
  <c r="D55" i="4" s="1"/>
  <c r="C53" i="4"/>
  <c r="C55" i="4" s="1"/>
  <c r="M68" i="4"/>
  <c r="G25" i="4" l="1"/>
  <c r="J26" i="4"/>
  <c r="I30" i="4"/>
  <c r="F24" i="4"/>
  <c r="G23" i="4"/>
  <c r="G55" i="4"/>
  <c r="R68" i="4"/>
  <c r="G29" i="4"/>
  <c r="D30" i="4"/>
  <c r="C30" i="4"/>
  <c r="H30" i="4" l="1"/>
  <c r="J31" i="4"/>
  <c r="Q68" i="4"/>
  <c r="H26" i="4"/>
  <c r="F29" i="4"/>
  <c r="F25" i="4"/>
  <c r="I26" i="4"/>
  <c r="E30" i="4"/>
  <c r="F30" i="4" l="1"/>
  <c r="H31" i="4"/>
  <c r="G30" i="4"/>
  <c r="I31" i="4"/>
  <c r="X72" i="5" l="1"/>
  <c r="X74" i="5" s="1"/>
  <c r="V72" i="5"/>
  <c r="V74" i="5" s="1"/>
  <c r="W72" i="5"/>
  <c r="W74" i="5" s="1"/>
  <c r="AB72" i="5" l="1"/>
  <c r="Y72" i="5"/>
  <c r="Y74" i="5" s="1"/>
  <c r="AC72" i="5"/>
  <c r="AC74" i="5" s="1"/>
  <c r="Z72" i="5"/>
  <c r="Z74" i="5" s="1"/>
  <c r="T65" i="5"/>
  <c r="Y65" i="5"/>
  <c r="I36" i="6" s="1"/>
  <c r="AB74" i="5"/>
  <c r="C46" i="7" s="1"/>
  <c r="C45" i="7"/>
  <c r="B34" i="7"/>
  <c r="S65" i="5"/>
  <c r="C10" i="7"/>
  <c r="C8" i="7"/>
  <c r="B10" i="7"/>
  <c r="I45" i="6" l="1"/>
  <c r="I47" i="6" s="1"/>
  <c r="AB65" i="5"/>
  <c r="C34" i="7" s="1"/>
  <c r="Z65" i="5"/>
  <c r="AB67" i="5"/>
  <c r="C41" i="7" s="1"/>
  <c r="B9" i="7"/>
  <c r="B8" i="7"/>
  <c r="V65" i="5"/>
  <c r="X65" i="5"/>
  <c r="B45" i="7"/>
  <c r="AA74" i="5"/>
  <c r="B46" i="7" s="1"/>
  <c r="T77" i="5"/>
  <c r="T67" i="5"/>
  <c r="W65" i="5"/>
  <c r="S67" i="5"/>
  <c r="S77" i="5"/>
  <c r="B50" i="7"/>
  <c r="Y67" i="5"/>
  <c r="C50" i="7" l="1"/>
  <c r="I50" i="6"/>
  <c r="AB66" i="5"/>
  <c r="C40" i="7" s="1"/>
  <c r="B23" i="6"/>
  <c r="V67" i="5"/>
  <c r="AA67" i="5"/>
  <c r="B41" i="7" s="1"/>
  <c r="Z67" i="5"/>
  <c r="X67" i="5"/>
  <c r="I38" i="6" s="1"/>
  <c r="B22" i="6"/>
  <c r="C13" i="7"/>
  <c r="C11" i="7"/>
  <c r="Y66" i="5"/>
  <c r="S66" i="5"/>
  <c r="W67" i="5"/>
  <c r="T66" i="5"/>
  <c r="B12" i="7" l="1"/>
  <c r="B11" i="7"/>
  <c r="B13" i="7" s="1"/>
  <c r="AA66" i="5"/>
  <c r="B40" i="7" s="1"/>
  <c r="B26" i="6"/>
  <c r="V66" i="5"/>
  <c r="Z66" i="5"/>
  <c r="B27" i="6"/>
  <c r="X66" i="5"/>
  <c r="I37" i="6" s="1"/>
  <c r="B25" i="6"/>
  <c r="W66" i="5"/>
  <c r="L27" i="5" l="1"/>
  <c r="M28" i="5" l="1"/>
  <c r="L29" i="5"/>
  <c r="L28" i="5"/>
</calcChain>
</file>

<file path=xl/sharedStrings.xml><?xml version="1.0" encoding="utf-8"?>
<sst xmlns="http://schemas.openxmlformats.org/spreadsheetml/2006/main" count="579" uniqueCount="241">
  <si>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</si>
  <si>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</si>
  <si>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</si>
  <si>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</si>
  <si>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</si>
  <si>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</si>
  <si>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</si>
  <si>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</si>
  <si>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</si>
  <si>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</si>
  <si>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</si>
  <si>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</si>
  <si>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</si>
  <si>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</si>
  <si>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</si>
  <si>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</si>
  <si>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</si>
  <si>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</si>
  <si>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</si>
  <si>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</si>
  <si>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</si>
  <si>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</si>
  <si>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</si>
  <si>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</si>
  <si>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</si>
  <si>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</si>
  <si>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</si>
  <si>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</si>
  <si>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</si>
  <si>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</si>
  <si>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</si>
  <si>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</si>
  <si>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</si>
  <si>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</si>
  <si>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</si>
  <si>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</si>
  <si>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</si>
  <si>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</si>
  <si>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</si>
  <si>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</si>
  <si>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</si>
  <si>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</si>
  <si>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</si>
  <si>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</si>
  <si>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</si>
  <si>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</si>
  <si>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</si>
  <si>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</si>
  <si>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</si>
  <si>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</si>
  <si>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</si>
  <si>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</si>
  <si>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</si>
  <si>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</si>
  <si>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</si>
  <si>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</si>
  <si>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</si>
  <si>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</si>
  <si>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</si>
  <si>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</si>
  <si>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</si>
  <si>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</si>
  <si>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</si>
  <si>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</si>
  <si>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</si>
  <si>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</si>
  <si>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</si>
  <si>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</si>
  <si>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</si>
  <si>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</si>
  <si>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</si>
  <si>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</si>
  <si>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</si>
  <si>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</si>
  <si>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</si>
  <si>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</si>
  <si>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</si>
  <si>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</si>
  <si>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</si>
  <si>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</si>
  <si>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</si>
  <si>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</si>
  <si>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</si>
  <si>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</si>
  <si>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</si>
  <si>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</si>
  <si>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</si>
  <si>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</si>
  <si>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</si>
  <si>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</si>
  <si>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</si>
  <si>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</si>
  <si>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</si>
  <si>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</si>
  <si>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</si>
  <si>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</si>
  <si>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</si>
  <si>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</si>
  <si>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Interest Coverage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</si>
  <si>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</si>
  <si>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</si>
  <si>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</si>
  <si>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</si>
  <si>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</si>
  <si>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</si>
  <si>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</si>
  <si>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</si>
  <si>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</si>
  <si>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Name of Agency:</t>
  </si>
  <si>
    <t>Long term Bank Facilities</t>
  </si>
  <si>
    <t>Long term / Short term Bank Facilities</t>
  </si>
  <si>
    <t>Short term Bank Facilities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</si>
  <si>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</si>
  <si>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</si>
  <si>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</si>
  <si>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</si>
  <si>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</si>
  <si>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</si>
  <si>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</si>
  <si>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</si>
  <si>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</si>
  <si>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</si>
  <si>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</si>
  <si>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</si>
  <si>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</si>
  <si>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</si>
  <si>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</si>
  <si>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</si>
  <si>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</si>
  <si>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</si>
  <si>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</si>
  <si>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</si>
  <si>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</si>
  <si>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</si>
  <si>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</si>
  <si>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</si>
  <si>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</si>
  <si>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</si>
  <si>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</si>
  <si>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</si>
  <si>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</si>
  <si>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</si>
  <si>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</si>
  <si>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</si>
  <si>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</si>
  <si>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</si>
  <si>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</si>
  <si>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</si>
  <si>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</si>
  <si>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</si>
  <si>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</si>
  <si>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</si>
  <si>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</si>
  <si>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</si>
  <si>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</si>
  <si>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</si>
  <si>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</si>
  <si>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</si>
  <si>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</si>
  <si>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</si>
  <si>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</si>
  <si>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</si>
  <si>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</si>
  <si>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</si>
  <si>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</si>
  <si>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Share of profit of associate</t>
  </si>
  <si>
    <t xml:space="preserve">   (i) Investments</t>
  </si>
  <si>
    <t>(ii) Trade Receivable</t>
  </si>
  <si>
    <t>Other non-current liabilities</t>
  </si>
  <si>
    <t>FY20</t>
  </si>
  <si>
    <t>Rs in Millions</t>
  </si>
  <si>
    <t>Q1FY21</t>
  </si>
  <si>
    <t>Goodwill on Consolidation</t>
  </si>
  <si>
    <t>Right to use Asset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</si>
  <si>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</si>
  <si>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</si>
  <si>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</si>
  <si>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</si>
  <si>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</si>
  <si>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</si>
  <si>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</si>
  <si>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</si>
  <si>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</si>
  <si>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</si>
  <si>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</si>
  <si>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</si>
  <si>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</si>
  <si>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</si>
  <si>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</si>
  <si>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</si>
  <si>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</si>
  <si>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</si>
  <si>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</si>
  <si>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</si>
  <si>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</si>
  <si>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CRISIL BBB/Stable (Reaffirmed)</t>
  </si>
  <si>
    <t>CRISIL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</si>
  <si>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</si>
  <si>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</si>
  <si>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</si>
  <si>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</si>
  <si>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</si>
  <si>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</si>
  <si>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</si>
  <si>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</si>
  <si>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</si>
  <si>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</si>
  <si>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</si>
  <si>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</si>
  <si>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</si>
  <si>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</si>
  <si>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</si>
  <si>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</si>
  <si>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</si>
  <si>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</si>
  <si>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</si>
  <si>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</si>
  <si>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</si>
  <si>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</si>
  <si>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</si>
  <si>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</si>
  <si>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</si>
  <si>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Q1-FY21</t>
  </si>
  <si>
    <t>H1-FY21</t>
  </si>
  <si>
    <t>FY21</t>
  </si>
  <si>
    <t>FY21
Consol</t>
  </si>
  <si>
    <t>H1-FY22</t>
  </si>
  <si>
    <t>CMP (As on 30.03.2021)</t>
  </si>
  <si>
    <t>NA</t>
  </si>
  <si>
    <t>FY22</t>
  </si>
  <si>
    <t>Please add short term borrowings here</t>
  </si>
  <si>
    <t>FY23</t>
  </si>
  <si>
    <t>FY24</t>
  </si>
  <si>
    <t>TOTAL LIABILITIES AND EQUITY</t>
  </si>
  <si>
    <t>FY25</t>
  </si>
  <si>
    <t>Credit Rating: As on 31st March 2025</t>
  </si>
  <si>
    <t>CRISIL A3+ (Reaffirmed)</t>
  </si>
  <si>
    <t>FY26</t>
  </si>
  <si>
    <t xml:space="preserve">   </t>
  </si>
  <si>
    <t>NON CURRENT LIABILITIES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</si>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</sst>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  <numFmt numFmtId="178" formatCode="#,##0.000"/>
    <numFmt numFmtId="179" formatCode="0.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i/>
      <sz val="12"/>
      <color rgb="FFFF0000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</font>
    <font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6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4" fillId="0" borderId="0" xfId="0" applyFont="1"/>
    <xf numFmtId="170" fontId="26" fillId="0" borderId="1" xfId="2" applyNumberFormat="1" applyFont="1" applyFill="1" applyBorder="1"/>
    <xf numFmtId="170" fontId="28" fillId="0" borderId="1" xfId="2" applyNumberFormat="1" applyFont="1" applyFill="1" applyBorder="1"/>
    <xf numFmtId="10" fontId="29" fillId="4" borderId="1" xfId="0" applyNumberFormat="1" applyFont="1" applyFill="1" applyBorder="1"/>
    <xf numFmtId="0" fontId="24" fillId="7" borderId="0" xfId="0" applyFont="1" applyFill="1"/>
    <xf numFmtId="10" fontId="30" fillId="0" borderId="1" xfId="0" applyNumberFormat="1" applyFont="1" applyBorder="1"/>
    <xf numFmtId="10" fontId="29" fillId="0" borderId="1" xfId="0" applyNumberFormat="1" applyFont="1" applyBorder="1"/>
    <xf numFmtId="170" fontId="26" fillId="4" borderId="1" xfId="2" applyNumberFormat="1" applyFont="1" applyFill="1" applyBorder="1"/>
    <xf numFmtId="170" fontId="28" fillId="5" borderId="1" xfId="2" applyNumberFormat="1" applyFont="1" applyFill="1" applyBorder="1"/>
    <xf numFmtId="10" fontId="27" fillId="4" borderId="1" xfId="0" applyNumberFormat="1" applyFont="1" applyFill="1" applyBorder="1"/>
    <xf numFmtId="165" fontId="28" fillId="0" borderId="1" xfId="2" applyFont="1" applyFill="1" applyBorder="1"/>
    <xf numFmtId="10" fontId="27" fillId="4" borderId="1" xfId="1" applyNumberFormat="1" applyFont="1" applyFill="1" applyBorder="1"/>
    <xf numFmtId="10" fontId="24" fillId="4" borderId="1" xfId="0" applyNumberFormat="1" applyFont="1" applyFill="1" applyBorder="1"/>
    <xf numFmtId="0" fontId="32" fillId="0" borderId="0" xfId="0" applyFont="1"/>
    <xf numFmtId="0" fontId="28" fillId="0" borderId="1" xfId="0" applyFont="1" applyBorder="1"/>
    <xf numFmtId="170" fontId="24" fillId="0" borderId="1" xfId="2" applyNumberFormat="1" applyFont="1" applyFill="1" applyBorder="1"/>
    <xf numFmtId="170" fontId="27" fillId="4" borderId="1" xfId="2" applyNumberFormat="1" applyFont="1" applyFill="1" applyBorder="1"/>
    <xf numFmtId="170" fontId="27" fillId="0" borderId="0" xfId="2" applyNumberFormat="1" applyFont="1" applyFill="1" applyBorder="1"/>
    <xf numFmtId="170" fontId="24" fillId="0" borderId="0" xfId="2" applyNumberFormat="1" applyFont="1" applyFill="1" applyBorder="1"/>
    <xf numFmtId="170" fontId="27" fillId="4" borderId="2" xfId="2" applyNumberFormat="1" applyFont="1" applyFill="1" applyBorder="1"/>
    <xf numFmtId="170" fontId="24" fillId="4" borderId="1" xfId="2" applyNumberFormat="1" applyFont="1" applyFill="1" applyBorder="1"/>
    <xf numFmtId="170" fontId="27" fillId="4" borderId="9" xfId="2" applyNumberFormat="1" applyFont="1" applyFill="1" applyBorder="1"/>
    <xf numFmtId="168" fontId="26" fillId="0" borderId="0" xfId="2" applyNumberFormat="1" applyFont="1" applyFill="1" applyBorder="1"/>
    <xf numFmtId="172" fontId="24" fillId="4" borderId="1" xfId="2" applyNumberFormat="1" applyFont="1" applyFill="1" applyBorder="1"/>
    <xf numFmtId="167" fontId="24" fillId="4" borderId="1" xfId="0" applyNumberFormat="1" applyFont="1" applyFill="1" applyBorder="1"/>
    <xf numFmtId="0" fontId="28" fillId="0" borderId="9" xfId="0" applyFont="1" applyBorder="1"/>
    <xf numFmtId="0" fontId="28" fillId="0" borderId="0" xfId="0" applyFont="1"/>
    <xf numFmtId="10" fontId="24" fillId="4" borderId="1" xfId="1" applyNumberFormat="1" applyFont="1" applyFill="1" applyBorder="1"/>
    <xf numFmtId="167" fontId="24" fillId="4" borderId="1" xfId="1" applyNumberFormat="1" applyFont="1" applyFill="1" applyBorder="1"/>
    <xf numFmtId="169" fontId="24" fillId="4" borderId="1" xfId="2" applyNumberFormat="1" applyFont="1" applyFill="1" applyBorder="1"/>
    <xf numFmtId="10" fontId="28" fillId="4" borderId="1" xfId="1" applyNumberFormat="1" applyFont="1" applyFill="1" applyBorder="1"/>
    <xf numFmtId="167" fontId="28" fillId="4" borderId="1" xfId="1" applyNumberFormat="1" applyFont="1" applyFill="1" applyBorder="1"/>
    <xf numFmtId="0" fontId="25" fillId="0" borderId="0" xfId="0" applyFont="1" applyAlignment="1">
      <alignment wrapText="1"/>
    </xf>
    <xf numFmtId="0" fontId="27" fillId="3" borderId="47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8" fillId="0" borderId="2" xfId="0" applyFont="1" applyBorder="1"/>
    <xf numFmtId="170" fontId="27" fillId="4" borderId="39" xfId="2" applyNumberFormat="1" applyFont="1" applyFill="1" applyBorder="1"/>
    <xf numFmtId="170" fontId="27" fillId="4" borderId="43" xfId="2" applyNumberFormat="1" applyFont="1" applyFill="1" applyBorder="1"/>
    <xf numFmtId="0" fontId="28" fillId="0" borderId="39" xfId="0" applyFont="1" applyBorder="1"/>
    <xf numFmtId="170" fontId="27" fillId="4" borderId="38" xfId="2" applyNumberFormat="1" applyFont="1" applyFill="1" applyBorder="1"/>
    <xf numFmtId="170" fontId="24" fillId="4" borderId="39" xfId="2" applyNumberFormat="1" applyFont="1" applyFill="1" applyBorder="1"/>
    <xf numFmtId="169" fontId="24" fillId="0" borderId="2" xfId="2" applyNumberFormat="1" applyFont="1" applyFill="1" applyBorder="1"/>
    <xf numFmtId="169" fontId="24" fillId="0" borderId="38" xfId="2" applyNumberFormat="1" applyFont="1" applyFill="1" applyBorder="1"/>
    <xf numFmtId="0" fontId="27" fillId="12" borderId="0" xfId="0" applyFont="1" applyFill="1"/>
    <xf numFmtId="10" fontId="24" fillId="12" borderId="0" xfId="1" applyNumberFormat="1" applyFont="1" applyFill="1"/>
    <xf numFmtId="0" fontId="24" fillId="12" borderId="0" xfId="0" applyFont="1" applyFill="1"/>
    <xf numFmtId="177" fontId="24" fillId="12" borderId="0" xfId="0" applyNumberFormat="1" applyFont="1" applyFill="1"/>
    <xf numFmtId="178" fontId="24" fillId="0" borderId="0" xfId="0" applyNumberFormat="1" applyFont="1"/>
    <xf numFmtId="0" fontId="28" fillId="0" borderId="38" xfId="0" applyFont="1" applyBorder="1"/>
    <xf numFmtId="0" fontId="28" fillId="0" borderId="43" xfId="0" applyFont="1" applyBorder="1"/>
    <xf numFmtId="2" fontId="24" fillId="0" borderId="0" xfId="0" applyNumberFormat="1" applyFont="1"/>
    <xf numFmtId="0" fontId="27" fillId="3" borderId="1" xfId="0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 indent="1"/>
    </xf>
    <xf numFmtId="170" fontId="27" fillId="0" borderId="1" xfId="2" applyNumberFormat="1" applyFont="1" applyFill="1" applyBorder="1"/>
    <xf numFmtId="167" fontId="24" fillId="0" borderId="1" xfId="0" applyNumberFormat="1" applyFont="1" applyBorder="1"/>
    <xf numFmtId="10" fontId="24" fillId="4" borderId="1" xfId="0" applyNumberFormat="1" applyFont="1" applyFill="1" applyBorder="1" applyAlignment="1">
      <alignment horizontal="right"/>
    </xf>
    <xf numFmtId="4" fontId="24" fillId="4" borderId="1" xfId="2" applyNumberFormat="1" applyFont="1" applyFill="1" applyBorder="1"/>
    <xf numFmtId="169" fontId="24" fillId="4" borderId="1" xfId="2" applyNumberFormat="1" applyFont="1" applyFill="1" applyBorder="1" applyAlignment="1">
      <alignment horizontal="right"/>
    </xf>
    <xf numFmtId="10" fontId="28" fillId="4" borderId="1" xfId="1" applyNumberFormat="1" applyFont="1" applyFill="1" applyBorder="1" applyAlignment="1">
      <alignment horizontal="right"/>
    </xf>
    <xf numFmtId="167" fontId="30" fillId="4" borderId="1" xfId="0" applyNumberFormat="1" applyFont="1" applyFill="1" applyBorder="1"/>
    <xf numFmtId="167" fontId="30" fillId="0" borderId="1" xfId="0" applyNumberFormat="1" applyFont="1" applyBorder="1"/>
    <xf numFmtId="167" fontId="29" fillId="0" borderId="1" xfId="0" applyNumberFormat="1" applyFont="1" applyBorder="1"/>
    <xf numFmtId="0" fontId="32" fillId="0" borderId="1" xfId="0" applyFont="1" applyBorder="1"/>
    <xf numFmtId="167" fontId="32" fillId="0" borderId="1" xfId="0" applyNumberFormat="1" applyFont="1" applyBorder="1"/>
    <xf numFmtId="10" fontId="29" fillId="4" borderId="1" xfId="0" applyNumberFormat="1" applyFont="1" applyFill="1" applyBorder="1" applyAlignment="1">
      <alignment horizontal="right"/>
    </xf>
    <xf numFmtId="4" fontId="24" fillId="0" borderId="0" xfId="0" applyNumberFormat="1" applyFont="1"/>
    <xf numFmtId="179" fontId="24" fillId="0" borderId="0" xfId="0" applyNumberFormat="1" applyFont="1"/>
    <xf numFmtId="170" fontId="26" fillId="4" borderId="1" xfId="2" applyNumberFormat="1" applyFont="1" applyFill="1" applyBorder="1" applyAlignment="1">
      <alignment horizontal="right"/>
    </xf>
    <xf numFmtId="170" fontId="28" fillId="0" borderId="1" xfId="2" applyNumberFormat="1" applyFont="1" applyFill="1" applyBorder="1" applyAlignment="1">
      <alignment horizontal="right"/>
    </xf>
    <xf numFmtId="10" fontId="27" fillId="4" borderId="1" xfId="0" applyNumberFormat="1" applyFont="1" applyFill="1" applyBorder="1" applyAlignment="1">
      <alignment horizontal="right"/>
    </xf>
    <xf numFmtId="170" fontId="28" fillId="7" borderId="1" xfId="2" applyNumberFormat="1" applyFont="1" applyFill="1" applyBorder="1" applyAlignment="1">
      <alignment horizontal="right"/>
    </xf>
    <xf numFmtId="10" fontId="27" fillId="4" borderId="1" xfId="1" applyNumberFormat="1" applyFont="1" applyFill="1" applyBorder="1" applyAlignment="1">
      <alignment horizontal="right"/>
    </xf>
    <xf numFmtId="10" fontId="31" fillId="4" borderId="1" xfId="0" applyNumberFormat="1" applyFont="1" applyFill="1" applyBorder="1" applyAlignment="1">
      <alignment horizontal="right"/>
    </xf>
    <xf numFmtId="165" fontId="26" fillId="7" borderId="1" xfId="3" applyNumberFormat="1" applyFont="1" applyFill="1" applyBorder="1" applyAlignment="1">
      <alignment horizontal="right"/>
    </xf>
    <xf numFmtId="170" fontId="27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/>
    <xf numFmtId="39" fontId="26" fillId="4" borderId="1" xfId="2" applyNumberFormat="1" applyFont="1" applyFill="1" applyBorder="1"/>
    <xf numFmtId="39" fontId="28" fillId="0" borderId="1" xfId="2" applyNumberFormat="1" applyFont="1" applyFill="1" applyBorder="1"/>
    <xf numFmtId="39" fontId="24" fillId="7" borderId="1" xfId="3" applyNumberFormat="1" applyFont="1" applyFill="1" applyBorder="1"/>
    <xf numFmtId="39" fontId="28" fillId="5" borderId="1" xfId="2" applyNumberFormat="1" applyFont="1" applyFill="1" applyBorder="1"/>
    <xf numFmtId="39" fontId="28" fillId="7" borderId="1" xfId="2" applyNumberFormat="1" applyFont="1" applyFill="1" applyBorder="1"/>
    <xf numFmtId="37" fontId="24" fillId="0" borderId="37" xfId="2" applyNumberFormat="1" applyFont="1" applyFill="1" applyBorder="1" applyAlignment="1">
      <alignment horizontal="right"/>
    </xf>
    <xf numFmtId="37" fontId="24" fillId="0" borderId="46" xfId="2" applyNumberFormat="1" applyFont="1" applyFill="1" applyBorder="1" applyAlignment="1">
      <alignment horizontal="right"/>
    </xf>
    <xf numFmtId="37" fontId="24" fillId="0" borderId="52" xfId="2" applyNumberFormat="1" applyFont="1" applyFill="1" applyBorder="1" applyAlignment="1">
      <alignment horizontal="right"/>
    </xf>
    <xf numFmtId="37" fontId="24" fillId="0" borderId="15" xfId="2" applyNumberFormat="1" applyFont="1" applyFill="1" applyBorder="1" applyAlignment="1">
      <alignment horizontal="right"/>
    </xf>
    <xf numFmtId="170" fontId="28" fillId="7" borderId="1" xfId="3" applyNumberFormat="1" applyFont="1" applyFill="1" applyBorder="1" applyAlignment="1">
      <alignment horizontal="right"/>
    </xf>
    <xf numFmtId="170" fontId="26" fillId="7" borderId="1" xfId="0" applyNumberFormat="1" applyFont="1" applyFill="1" applyBorder="1" applyAlignment="1">
      <alignment horizontal="right"/>
    </xf>
    <xf numFmtId="170" fontId="27" fillId="0" borderId="1" xfId="0" applyNumberFormat="1" applyFont="1" applyBorder="1" applyAlignment="1">
      <alignment horizontal="right" vertical="top"/>
    </xf>
    <xf numFmtId="0" fontId="27" fillId="3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/>
    </xf>
    <xf numFmtId="10" fontId="29" fillId="4" borderId="1" xfId="0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70" fontId="26" fillId="4" borderId="1" xfId="2" applyNumberFormat="1" applyFont="1" applyFill="1" applyBorder="1" applyAlignment="1">
      <alignment horizontal="left"/>
    </xf>
    <xf numFmtId="10" fontId="27" fillId="4" borderId="1" xfId="0" applyNumberFormat="1" applyFont="1" applyFill="1" applyBorder="1" applyAlignment="1">
      <alignment horizontal="left"/>
    </xf>
    <xf numFmtId="10" fontId="24" fillId="4" borderId="1" xfId="0" applyNumberFormat="1" applyFont="1" applyFill="1" applyBorder="1" applyAlignment="1">
      <alignment horizontal="left"/>
    </xf>
    <xf numFmtId="170" fontId="27" fillId="4" borderId="1" xfId="2" applyNumberFormat="1" applyFont="1" applyFill="1" applyBorder="1" applyAlignment="1">
      <alignment horizontal="left"/>
    </xf>
    <xf numFmtId="0" fontId="24" fillId="0" borderId="0" xfId="0" applyFont="1" applyAlignment="1">
      <alignment horizontal="left"/>
    </xf>
    <xf numFmtId="0" fontId="27" fillId="3" borderId="35" xfId="0" applyFont="1" applyFill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4" fillId="0" borderId="41" xfId="0" applyFont="1" applyBorder="1" applyAlignment="1">
      <alignment horizontal="left"/>
    </xf>
    <xf numFmtId="0" fontId="27" fillId="0" borderId="42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24" fillId="0" borderId="42" xfId="0" applyFont="1" applyBorder="1" applyAlignment="1">
      <alignment horizontal="left"/>
    </xf>
    <xf numFmtId="0" fontId="28" fillId="0" borderId="40" xfId="0" applyFont="1" applyBorder="1" applyAlignment="1">
      <alignment horizontal="left"/>
    </xf>
    <xf numFmtId="0" fontId="28" fillId="0" borderId="41" xfId="0" applyFont="1" applyBorder="1" applyAlignment="1">
      <alignment horizontal="left"/>
    </xf>
    <xf numFmtId="0" fontId="28" fillId="0" borderId="42" xfId="0" applyFont="1" applyBorder="1" applyAlignment="1">
      <alignment horizontal="left"/>
    </xf>
    <xf numFmtId="0" fontId="28" fillId="0" borderId="0" xfId="0" applyFont="1" applyAlignment="1">
      <alignment horizontal="left"/>
    </xf>
    <xf numFmtId="10" fontId="29" fillId="0" borderId="1" xfId="0" applyNumberFormat="1" applyFont="1" applyBorder="1" applyAlignment="1">
      <alignment horizontal="right"/>
    </xf>
    <xf numFmtId="170" fontId="26" fillId="7" borderId="1" xfId="3" applyNumberFormat="1" applyFont="1" applyFill="1" applyBorder="1" applyAlignment="1">
      <alignment horizontal="right"/>
    </xf>
    <xf numFmtId="167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right"/>
    </xf>
    <xf numFmtId="170" fontId="27" fillId="0" borderId="1" xfId="2" applyNumberFormat="1" applyFont="1" applyFill="1" applyBorder="1" applyAlignment="1">
      <alignment horizontal="right"/>
    </xf>
    <xf numFmtId="170" fontId="24" fillId="0" borderId="1" xfId="2" applyNumberFormat="1" applyFont="1" applyFill="1" applyBorder="1" applyAlignment="1">
      <alignment horizontal="right"/>
    </xf>
    <xf numFmtId="170" fontId="27" fillId="4" borderId="1" xfId="2" applyNumberFormat="1" applyFont="1" applyFill="1" applyBorder="1" applyAlignment="1">
      <alignment horizontal="right"/>
    </xf>
    <xf numFmtId="0" fontId="24" fillId="0" borderId="0" xfId="0" applyFont="1" applyAlignment="1">
      <alignment horizontal="right"/>
    </xf>
    <xf numFmtId="170" fontId="27" fillId="0" borderId="0" xfId="2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0" fontId="27" fillId="3" borderId="49" xfId="0" applyFont="1" applyFill="1" applyBorder="1" applyAlignment="1">
      <alignment horizontal="right"/>
    </xf>
    <xf numFmtId="170" fontId="27" fillId="4" borderId="37" xfId="2" applyNumberFormat="1" applyFont="1" applyFill="1" applyBorder="1" applyAlignment="1">
      <alignment horizontal="right"/>
    </xf>
    <xf numFmtId="170" fontId="24" fillId="4" borderId="7" xfId="2" applyNumberFormat="1" applyFont="1" applyFill="1" applyBorder="1" applyAlignment="1">
      <alignment horizontal="right"/>
    </xf>
    <xf numFmtId="170" fontId="27" fillId="4" borderId="10" xfId="2" applyNumberFormat="1" applyFont="1" applyFill="1" applyBorder="1" applyAlignment="1">
      <alignment horizontal="right"/>
    </xf>
    <xf numFmtId="0" fontId="26" fillId="3" borderId="49" xfId="0" applyFont="1" applyFill="1" applyBorder="1" applyAlignment="1">
      <alignment horizontal="right"/>
    </xf>
    <xf numFmtId="39" fontId="27" fillId="4" borderId="7" xfId="2" applyNumberFormat="1" applyFont="1" applyFill="1" applyBorder="1" applyAlignment="1">
      <alignment horizontal="right"/>
    </xf>
    <xf numFmtId="39" fontId="24" fillId="4" borderId="7" xfId="2" applyNumberFormat="1" applyFont="1" applyFill="1" applyBorder="1" applyAlignment="1">
      <alignment horizontal="right"/>
    </xf>
    <xf numFmtId="39" fontId="27" fillId="4" borderId="10" xfId="2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0" fontId="26" fillId="3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right"/>
    </xf>
    <xf numFmtId="170" fontId="28" fillId="0" borderId="1" xfId="3" applyNumberFormat="1" applyFont="1" applyBorder="1" applyAlignment="1">
      <alignment horizontal="right"/>
    </xf>
    <xf numFmtId="10" fontId="24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6" fillId="3" borderId="36" xfId="0" applyFont="1" applyFill="1" applyBorder="1" applyAlignment="1">
      <alignment horizontal="right"/>
    </xf>
    <xf numFmtId="170" fontId="27" fillId="4" borderId="46" xfId="2" applyNumberFormat="1" applyFont="1" applyFill="1" applyBorder="1" applyAlignment="1">
      <alignment horizontal="right"/>
    </xf>
    <xf numFmtId="170" fontId="24" fillId="4" borderId="20" xfId="2" applyNumberFormat="1" applyFont="1" applyFill="1" applyBorder="1" applyAlignment="1">
      <alignment horizontal="right"/>
    </xf>
    <xf numFmtId="170" fontId="27" fillId="4" borderId="44" xfId="2" applyNumberFormat="1" applyFont="1" applyFill="1" applyBorder="1" applyAlignment="1">
      <alignment horizontal="right"/>
    </xf>
    <xf numFmtId="39" fontId="27" fillId="4" borderId="20" xfId="2" applyNumberFormat="1" applyFont="1" applyFill="1" applyBorder="1" applyAlignment="1">
      <alignment horizontal="right"/>
    </xf>
    <xf numFmtId="39" fontId="24" fillId="4" borderId="20" xfId="2" applyNumberFormat="1" applyFont="1" applyFill="1" applyBorder="1" applyAlignment="1">
      <alignment horizontal="right"/>
    </xf>
    <xf numFmtId="39" fontId="27" fillId="4" borderId="44" xfId="2" applyNumberFormat="1" applyFont="1" applyFill="1" applyBorder="1" applyAlignment="1">
      <alignment horizontal="right"/>
    </xf>
    <xf numFmtId="0" fontId="27" fillId="3" borderId="36" xfId="0" applyFont="1" applyFill="1" applyBorder="1" applyAlignment="1">
      <alignment horizontal="right"/>
    </xf>
    <xf numFmtId="170" fontId="28" fillId="7" borderId="1" xfId="0" applyNumberFormat="1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27" fillId="3" borderId="51" xfId="0" applyFont="1" applyFill="1" applyBorder="1" applyAlignment="1">
      <alignment horizontal="right"/>
    </xf>
    <xf numFmtId="170" fontId="27" fillId="4" borderId="52" xfId="2" applyNumberFormat="1" applyFont="1" applyFill="1" applyBorder="1" applyAlignment="1">
      <alignment horizontal="right"/>
    </xf>
    <xf numFmtId="170" fontId="24" fillId="4" borderId="53" xfId="2" applyNumberFormat="1" applyFont="1" applyFill="1" applyBorder="1" applyAlignment="1">
      <alignment horizontal="right"/>
    </xf>
    <xf numFmtId="170" fontId="27" fillId="4" borderId="54" xfId="2" applyNumberFormat="1" applyFont="1" applyFill="1" applyBorder="1" applyAlignment="1">
      <alignment horizontal="right"/>
    </xf>
    <xf numFmtId="0" fontId="26" fillId="3" borderId="51" xfId="0" applyFont="1" applyFill="1" applyBorder="1" applyAlignment="1">
      <alignment horizontal="right"/>
    </xf>
    <xf numFmtId="39" fontId="27" fillId="4" borderId="53" xfId="2" applyNumberFormat="1" applyFont="1" applyFill="1" applyBorder="1" applyAlignment="1">
      <alignment horizontal="right"/>
    </xf>
    <xf numFmtId="39" fontId="24" fillId="4" borderId="16" xfId="2" applyNumberFormat="1" applyFont="1" applyFill="1" applyBorder="1" applyAlignment="1">
      <alignment horizontal="right"/>
    </xf>
    <xf numFmtId="39" fontId="24" fillId="4" borderId="53" xfId="2" applyNumberFormat="1" applyFont="1" applyFill="1" applyBorder="1" applyAlignment="1">
      <alignment horizontal="right"/>
    </xf>
    <xf numFmtId="39" fontId="27" fillId="4" borderId="54" xfId="2" applyNumberFormat="1" applyFont="1" applyFill="1" applyBorder="1" applyAlignment="1">
      <alignment horizontal="right"/>
    </xf>
    <xf numFmtId="0" fontId="25" fillId="3" borderId="1" xfId="0" applyFont="1" applyFill="1" applyBorder="1" applyAlignment="1">
      <alignment horizontal="right"/>
    </xf>
    <xf numFmtId="170" fontId="24" fillId="4" borderId="41" xfId="2" applyNumberFormat="1" applyFont="1" applyFill="1" applyBorder="1" applyAlignment="1">
      <alignment horizontal="right"/>
    </xf>
    <xf numFmtId="170" fontId="27" fillId="4" borderId="42" xfId="2" applyNumberFormat="1" applyFont="1" applyFill="1" applyBorder="1" applyAlignment="1">
      <alignment horizontal="right"/>
    </xf>
    <xf numFmtId="0" fontId="26" fillId="3" borderId="55" xfId="0" applyFont="1" applyFill="1" applyBorder="1" applyAlignment="1">
      <alignment horizontal="right"/>
    </xf>
    <xf numFmtId="39" fontId="27" fillId="4" borderId="33" xfId="2" applyNumberFormat="1" applyFont="1" applyFill="1" applyBorder="1" applyAlignment="1">
      <alignment horizontal="right"/>
    </xf>
    <xf numFmtId="39" fontId="24" fillId="4" borderId="33" xfId="2" applyNumberFormat="1" applyFont="1" applyFill="1" applyBorder="1" applyAlignment="1">
      <alignment horizontal="right"/>
    </xf>
    <xf numFmtId="39" fontId="27" fillId="4" borderId="56" xfId="2" applyNumberFormat="1" applyFont="1" applyFill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24" fillId="5" borderId="1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6" fontId="27" fillId="0" borderId="1" xfId="0" applyNumberFormat="1" applyFont="1" applyBorder="1" applyAlignment="1">
      <alignment horizontal="left"/>
    </xf>
    <xf numFmtId="166" fontId="24" fillId="0" borderId="1" xfId="0" applyNumberFormat="1" applyFont="1" applyBorder="1" applyAlignment="1">
      <alignment horizontal="left"/>
    </xf>
    <xf numFmtId="167" fontId="24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39" fontId="28" fillId="7" borderId="1" xfId="3" applyNumberFormat="1" applyFont="1" applyFill="1" applyBorder="1" applyAlignment="1">
      <alignment horizontal="right"/>
    </xf>
    <xf numFmtId="39" fontId="26" fillId="4" borderId="1" xfId="2" applyNumberFormat="1" applyFont="1" applyFill="1" applyBorder="1" applyAlignment="1">
      <alignment horizontal="right"/>
    </xf>
    <xf numFmtId="39" fontId="28" fillId="0" borderId="1" xfId="2" applyNumberFormat="1" applyFont="1" applyFill="1" applyBorder="1" applyAlignment="1">
      <alignment horizontal="right"/>
    </xf>
    <xf numFmtId="39" fontId="24" fillId="7" borderId="1" xfId="3" applyNumberFormat="1" applyFont="1" applyFill="1" applyBorder="1" applyAlignment="1">
      <alignment horizontal="right"/>
    </xf>
    <xf numFmtId="39" fontId="28" fillId="5" borderId="1" xfId="2" applyNumberFormat="1" applyFont="1" applyFill="1" applyBorder="1" applyAlignment="1">
      <alignment horizontal="right"/>
    </xf>
    <xf numFmtId="39" fontId="28" fillId="7" borderId="1" xfId="2" applyNumberFormat="1" applyFont="1" applyFill="1" applyBorder="1" applyAlignment="1">
      <alignment horizontal="right"/>
    </xf>
    <xf numFmtId="39" fontId="28" fillId="7" borderId="1" xfId="3" applyNumberFormat="1" applyFont="1" applyFill="1" applyBorder="1" applyAlignment="1">
      <alignment horizontal="right" vertical="center"/>
    </xf>
    <xf numFmtId="168" fontId="26" fillId="0" borderId="0" xfId="2" applyNumberFormat="1" applyFont="1" applyFill="1" applyBorder="1" applyAlignment="1">
      <alignment horizontal="right"/>
    </xf>
    <xf numFmtId="170" fontId="24" fillId="4" borderId="1" xfId="2" applyNumberFormat="1" applyFont="1" applyFill="1" applyBorder="1" applyAlignment="1">
      <alignment horizontal="right"/>
    </xf>
    <xf numFmtId="172" fontId="24" fillId="4" borderId="1" xfId="2" applyNumberFormat="1" applyFont="1" applyFill="1" applyBorder="1" applyAlignment="1">
      <alignment horizontal="right"/>
    </xf>
    <xf numFmtId="4" fontId="24" fillId="4" borderId="1" xfId="2" applyNumberFormat="1" applyFont="1" applyFill="1" applyBorder="1" applyAlignment="1">
      <alignment horizontal="right"/>
    </xf>
    <xf numFmtId="167" fontId="28" fillId="4" borderId="1" xfId="1" applyNumberFormat="1" applyFont="1" applyFill="1" applyBorder="1" applyAlignment="1">
      <alignment horizontal="right"/>
    </xf>
    <xf numFmtId="166" fontId="26" fillId="3" borderId="1" xfId="0" applyNumberFormat="1" applyFont="1" applyFill="1" applyBorder="1" applyAlignment="1">
      <alignment horizontal="right"/>
    </xf>
    <xf numFmtId="166" fontId="28" fillId="0" borderId="0" xfId="0" applyNumberFormat="1" applyFont="1" applyAlignment="1">
      <alignment horizontal="right"/>
    </xf>
    <xf numFmtId="39" fontId="24" fillId="0" borderId="1" xfId="0" applyNumberFormat="1" applyFont="1" applyBorder="1" applyAlignment="1">
      <alignment horizontal="right"/>
    </xf>
    <xf numFmtId="0" fontId="27" fillId="3" borderId="1" xfId="0" applyFont="1" applyFill="1" applyBorder="1" applyAlignment="1">
      <alignment horizontal="right" wrapText="1"/>
    </xf>
    <xf numFmtId="39" fontId="24" fillId="7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right" vertical="center"/>
    </xf>
    <xf numFmtId="0" fontId="25" fillId="3" borderId="1" xfId="0" applyFont="1" applyFill="1" applyBorder="1" applyAlignment="1">
      <alignment horizontal="right" wrapText="1"/>
    </xf>
    <xf numFmtId="0" fontId="27" fillId="3" borderId="1" xfId="0" applyFont="1" applyFill="1" applyBorder="1" applyAlignment="1">
      <alignment horizontal="right" vertical="top" wrapText="1"/>
    </xf>
    <xf numFmtId="0" fontId="25" fillId="3" borderId="0" xfId="0" applyFont="1" applyFill="1" applyAlignment="1">
      <alignment horizontal="center"/>
    </xf>
    <xf numFmtId="0" fontId="27" fillId="3" borderId="57" xfId="0" applyFont="1" applyFill="1" applyBorder="1" applyAlignment="1">
      <alignment horizontal="right"/>
    </xf>
    <xf numFmtId="170" fontId="27" fillId="4" borderId="32" xfId="2" applyNumberFormat="1" applyFont="1" applyFill="1" applyBorder="1" applyAlignment="1">
      <alignment horizontal="right"/>
    </xf>
    <xf numFmtId="170" fontId="24" fillId="4" borderId="33" xfId="2" applyNumberFormat="1" applyFont="1" applyFill="1" applyBorder="1" applyAlignment="1">
      <alignment horizontal="right"/>
    </xf>
    <xf numFmtId="170" fontId="27" fillId="4" borderId="34" xfId="2" applyNumberFormat="1" applyFont="1" applyFill="1" applyBorder="1" applyAlignment="1">
      <alignment horizontal="right"/>
    </xf>
    <xf numFmtId="0" fontId="27" fillId="3" borderId="40" xfId="0" applyFont="1" applyFill="1" applyBorder="1" applyAlignment="1">
      <alignment horizontal="right"/>
    </xf>
    <xf numFmtId="170" fontId="27" fillId="4" borderId="41" xfId="2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right"/>
    </xf>
    <xf numFmtId="39" fontId="27" fillId="4" borderId="34" xfId="2" applyNumberFormat="1" applyFont="1" applyFill="1" applyBorder="1" applyAlignment="1">
      <alignment horizontal="right"/>
    </xf>
    <xf numFmtId="165" fontId="24" fillId="0" borderId="0" xfId="0" applyNumberFormat="1" applyFont="1"/>
    <xf numFmtId="0" fontId="27" fillId="3" borderId="21" xfId="0" applyFont="1" applyFill="1" applyBorder="1" applyAlignment="1">
      <alignment horizontal="center"/>
    </xf>
    <xf numFmtId="0" fontId="27" fillId="3" borderId="52" xfId="0" applyFont="1" applyFill="1" applyBorder="1" applyAlignment="1">
      <alignment horizontal="center"/>
    </xf>
    <xf numFmtId="0" fontId="26" fillId="3" borderId="0" xfId="0" applyFont="1" applyFill="1" applyAlignment="1">
      <alignment horizontal="right"/>
    </xf>
    <xf numFmtId="170" fontId="27" fillId="4" borderId="0" xfId="2" applyNumberFormat="1" applyFont="1" applyFill="1" applyBorder="1" applyAlignment="1">
      <alignment horizontal="right"/>
    </xf>
    <xf numFmtId="170" fontId="24" fillId="4" borderId="0" xfId="2" applyNumberFormat="1" applyFont="1" applyFill="1" applyBorder="1" applyAlignment="1">
      <alignment horizontal="right" wrapText="1"/>
    </xf>
    <xf numFmtId="39" fontId="27" fillId="4" borderId="0" xfId="2" applyNumberFormat="1" applyFont="1" applyFill="1" applyBorder="1" applyAlignment="1">
      <alignment horizontal="right"/>
    </xf>
    <xf numFmtId="0" fontId="23" fillId="2" borderId="27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wrapText="1"/>
    </xf>
    <xf numFmtId="0" fontId="25" fillId="3" borderId="1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7" fillId="3" borderId="50" xfId="0" applyFont="1" applyFill="1" applyBorder="1" applyAlignment="1">
      <alignment horizontal="center"/>
    </xf>
    <xf numFmtId="0" fontId="27" fillId="3" borderId="48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43" fontId="27" fillId="0" borderId="0" xfId="0" applyNumberFormat="1" applyFont="1"/>
    <xf numFmtId="0" fontId="33" fillId="13" borderId="58" xfId="0" applyFont="1" applyFill="1" applyBorder="1" applyAlignment="1">
      <alignment horizontal="right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 x14ac:dyDescent="0.25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 x14ac:dyDescent="0.3">
      <c r="A1" s="495" t="s">
        <v>185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7"/>
    </row>
    <row r="2" spans="1:21" ht="15" customHeight="1" x14ac:dyDescent="0.25">
      <c r="A2" s="492" t="s">
        <v>99</v>
      </c>
      <c r="B2" s="493"/>
      <c r="C2" s="493"/>
      <c r="D2" s="493"/>
      <c r="E2" s="493"/>
      <c r="F2" s="493"/>
      <c r="G2" s="493"/>
      <c r="H2" s="493"/>
      <c r="I2" s="494"/>
      <c r="J2" s="150"/>
      <c r="K2" s="19"/>
      <c r="L2" s="492" t="s">
        <v>100</v>
      </c>
      <c r="M2" s="493"/>
      <c r="N2" s="493"/>
      <c r="O2" s="493"/>
      <c r="P2" s="493"/>
      <c r="Q2" s="493"/>
      <c r="R2" s="493"/>
      <c r="S2" s="493"/>
      <c r="T2" s="494"/>
    </row>
    <row r="3" spans="1:21" ht="15" customHeight="1" x14ac:dyDescent="0.25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169</v>
      </c>
      <c r="I3" s="151" t="s">
        <v>171</v>
      </c>
      <c r="J3" s="2" t="s">
        <v>223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169</v>
      </c>
      <c r="T3" s="163" t="s">
        <v>223</v>
      </c>
    </row>
    <row r="4" spans="1:21" ht="15" customHeight="1" x14ac:dyDescent="0.25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 x14ac:dyDescent="0.25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 t="shared" ref="E5:H5" si="0">(E4/D4-1)</f>
        <v>-1</v>
      </c>
      <c r="F5" s="54" t="e">
        <f t="shared" si="0"/>
        <v>#DIV/0!</v>
      </c>
      <c r="G5" s="54">
        <f t="shared" si="0"/>
        <v>0.13654187322799416</v>
      </c>
      <c r="H5" s="152">
        <f t="shared" si="0"/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 x14ac:dyDescent="0.25">
      <c r="A6" s="34" t="s">
        <v>113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1">(M4+M5)</f>
        <v>0</v>
      </c>
      <c r="N6" s="69">
        <f t="shared" si="1"/>
        <v>0</v>
      </c>
      <c r="O6" s="60">
        <f t="shared" si="1"/>
        <v>2094.1570959999999</v>
      </c>
      <c r="P6" s="60">
        <f t="shared" si="1"/>
        <v>0</v>
      </c>
      <c r="Q6" s="60">
        <f t="shared" si="1"/>
        <v>582.07399999999996</v>
      </c>
      <c r="R6" s="60">
        <f t="shared" si="1"/>
        <v>631.58799999999997</v>
      </c>
      <c r="S6" s="60">
        <f t="shared" si="1"/>
        <v>651.40700000000004</v>
      </c>
      <c r="T6" s="167">
        <f t="shared" ref="T6" si="2">(T4+T5)</f>
        <v>672.49300000000005</v>
      </c>
    </row>
    <row r="7" spans="1:21" ht="15" customHeight="1" x14ac:dyDescent="0.25">
      <c r="A7" s="32" t="s">
        <v>3</v>
      </c>
      <c r="B7" s="69">
        <f t="shared" ref="B7:J7" si="3">SUM(B8:B12)</f>
        <v>0</v>
      </c>
      <c r="C7" s="60">
        <f t="shared" si="3"/>
        <v>2516.8966760000003</v>
      </c>
      <c r="D7" s="60">
        <f t="shared" si="3"/>
        <v>2519.6023679999998</v>
      </c>
      <c r="E7" s="60">
        <f t="shared" si="3"/>
        <v>0</v>
      </c>
      <c r="F7" s="60">
        <f t="shared" si="3"/>
        <v>1602.86043</v>
      </c>
      <c r="G7" s="60">
        <f t="shared" si="3"/>
        <v>1836.5920000000001</v>
      </c>
      <c r="H7" s="153">
        <f t="shared" si="3"/>
        <v>1854.4829999999999</v>
      </c>
      <c r="I7" s="153">
        <f t="shared" si="3"/>
        <v>403.09399999999994</v>
      </c>
      <c r="J7" s="60">
        <f t="shared" si="3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 x14ac:dyDescent="0.3">
      <c r="A8" s="33" t="s">
        <v>158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 x14ac:dyDescent="0.3">
      <c r="A9" s="33" t="s">
        <v>159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 x14ac:dyDescent="0.25">
      <c r="A10" s="33" t="s">
        <v>160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4">(M8+M9)</f>
        <v>0</v>
      </c>
      <c r="N10" s="69">
        <f t="shared" si="4"/>
        <v>0</v>
      </c>
      <c r="O10" s="60">
        <f t="shared" si="4"/>
        <v>870.02611300000001</v>
      </c>
      <c r="P10" s="60">
        <f t="shared" si="4"/>
        <v>0</v>
      </c>
      <c r="Q10" s="60">
        <f t="shared" si="4"/>
        <v>36.939</v>
      </c>
      <c r="R10" s="60">
        <f t="shared" si="4"/>
        <v>71.012</v>
      </c>
      <c r="S10" s="60">
        <f t="shared" si="4"/>
        <v>87.521000000000001</v>
      </c>
      <c r="T10" s="167">
        <f t="shared" si="4"/>
        <v>0</v>
      </c>
    </row>
    <row r="11" spans="1:21" ht="15" customHeight="1" x14ac:dyDescent="0.25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 x14ac:dyDescent="0.25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5">M55-M41-M9</f>
        <v>0</v>
      </c>
      <c r="N12" s="70">
        <f t="shared" si="5"/>
        <v>0</v>
      </c>
      <c r="O12" s="60">
        <f t="shared" si="5"/>
        <v>2124.1436920000001</v>
      </c>
      <c r="P12" s="60">
        <f t="shared" si="5"/>
        <v>0</v>
      </c>
      <c r="Q12" s="60">
        <f t="shared" si="5"/>
        <v>618.88100000000009</v>
      </c>
      <c r="R12" s="60">
        <f t="shared" si="5"/>
        <v>668.72100000000012</v>
      </c>
      <c r="S12" s="60">
        <f t="shared" si="5"/>
        <v>669.67199999999991</v>
      </c>
      <c r="T12" s="60">
        <f>T55-T41-T9</f>
        <v>686.81799999999998</v>
      </c>
    </row>
    <row r="13" spans="1:21" ht="15" customHeight="1" x14ac:dyDescent="0.25">
      <c r="A13" s="32" t="s">
        <v>4</v>
      </c>
      <c r="B13" s="53">
        <f t="shared" ref="B13:J13" si="6">(B4-B7)</f>
        <v>0</v>
      </c>
      <c r="C13" s="53">
        <f t="shared" si="6"/>
        <v>448.6266099999998</v>
      </c>
      <c r="D13" s="53">
        <f t="shared" si="6"/>
        <v>465.62899300000026</v>
      </c>
      <c r="E13" s="53">
        <f t="shared" si="6"/>
        <v>0</v>
      </c>
      <c r="F13" s="53">
        <f t="shared" si="6"/>
        <v>85.903569999999945</v>
      </c>
      <c r="G13" s="53">
        <f t="shared" si="6"/>
        <v>82.759000000000015</v>
      </c>
      <c r="H13" s="155">
        <f t="shared" si="6"/>
        <v>57.657000000000153</v>
      </c>
      <c r="I13" s="155">
        <f t="shared" si="6"/>
        <v>22.168000000000063</v>
      </c>
      <c r="J13" s="53">
        <f t="shared" si="6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 x14ac:dyDescent="0.25">
      <c r="A14" s="34" t="s">
        <v>2</v>
      </c>
      <c r="B14" s="59"/>
      <c r="C14" s="54" t="e">
        <f>(C13/B13-1)</f>
        <v>#DIV/0!</v>
      </c>
      <c r="D14" s="54">
        <f t="shared" ref="D14:J14" si="7">(D13/C13-1)</f>
        <v>3.7898739443922969E-2</v>
      </c>
      <c r="E14" s="54">
        <f t="shared" si="7"/>
        <v>-1</v>
      </c>
      <c r="F14" s="54" t="e">
        <f t="shared" si="7"/>
        <v>#DIV/0!</v>
      </c>
      <c r="G14" s="54">
        <f t="shared" si="7"/>
        <v>-3.6605812773554458E-2</v>
      </c>
      <c r="H14" s="152">
        <f t="shared" si="7"/>
        <v>-0.30331444314213385</v>
      </c>
      <c r="I14" s="152">
        <f t="shared" si="7"/>
        <v>-0.61551936451775147</v>
      </c>
      <c r="J14" s="54">
        <f t="shared" si="7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 x14ac:dyDescent="0.25">
      <c r="A15" s="34" t="s">
        <v>113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102</v>
      </c>
      <c r="M15" s="82"/>
      <c r="N15" s="82"/>
      <c r="O15" s="60">
        <f t="shared" ref="O15:T15" si="8">SUM(O16:O27)</f>
        <v>1214.5796989999999</v>
      </c>
      <c r="P15" s="60">
        <f t="shared" si="8"/>
        <v>0</v>
      </c>
      <c r="Q15" s="60">
        <f t="shared" si="8"/>
        <v>338.32100000000003</v>
      </c>
      <c r="R15" s="60">
        <f t="shared" si="8"/>
        <v>464.04000000000008</v>
      </c>
      <c r="S15" s="60">
        <f t="shared" si="8"/>
        <v>456.78899999999999</v>
      </c>
      <c r="T15" s="167">
        <f t="shared" si="8"/>
        <v>401.03</v>
      </c>
    </row>
    <row r="16" spans="1:21" ht="15" customHeight="1" x14ac:dyDescent="0.25">
      <c r="A16" s="32" t="s">
        <v>5</v>
      </c>
      <c r="B16" s="55" t="e">
        <f t="shared" ref="B16:J16" si="9">(B13/B4)</f>
        <v>#DIV/0!</v>
      </c>
      <c r="C16" s="55">
        <f t="shared" si="9"/>
        <v>0.15128075780687017</v>
      </c>
      <c r="D16" s="55">
        <f t="shared" si="9"/>
        <v>0.15597752290932074</v>
      </c>
      <c r="E16" s="55" t="e">
        <f t="shared" si="9"/>
        <v>#DIV/0!</v>
      </c>
      <c r="F16" s="55">
        <f t="shared" si="9"/>
        <v>5.0867717454895975E-2</v>
      </c>
      <c r="G16" s="55">
        <f t="shared" si="9"/>
        <v>4.3118220690222898E-2</v>
      </c>
      <c r="H16" s="156">
        <f t="shared" si="9"/>
        <v>3.0153126863095878E-2</v>
      </c>
      <c r="I16" s="156">
        <f t="shared" si="9"/>
        <v>5.2127864704582264E-2</v>
      </c>
      <c r="J16" s="55">
        <f t="shared" si="9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 x14ac:dyDescent="0.25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174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 x14ac:dyDescent="0.25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186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 x14ac:dyDescent="0.25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187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 x14ac:dyDescent="0.25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 x14ac:dyDescent="0.25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 t="shared" ref="D21:F21" si="10">(D13+D17-D18-D19-D20)</f>
        <v>350.24746100000027</v>
      </c>
      <c r="E21" s="53">
        <f t="shared" si="10"/>
        <v>0</v>
      </c>
      <c r="F21" s="53">
        <f t="shared" si="10"/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188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 x14ac:dyDescent="0.25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189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 x14ac:dyDescent="0.25">
      <c r="A23" s="34" t="s">
        <v>12</v>
      </c>
      <c r="B23" s="54" t="e">
        <f t="shared" ref="B23:J23" si="11">(B22/B21)</f>
        <v>#DIV/0!</v>
      </c>
      <c r="C23" s="54">
        <f t="shared" si="11"/>
        <v>0.25730066681769359</v>
      </c>
      <c r="D23" s="66">
        <f t="shared" si="11"/>
        <v>0.26565444824166745</v>
      </c>
      <c r="E23" s="66" t="e">
        <f t="shared" si="11"/>
        <v>#DIV/0!</v>
      </c>
      <c r="F23" s="66">
        <f t="shared" si="11"/>
        <v>0.23535545334158245</v>
      </c>
      <c r="G23" s="66">
        <f t="shared" si="11"/>
        <v>0.20535003306655145</v>
      </c>
      <c r="H23" s="157">
        <f t="shared" si="11"/>
        <v>-6.323711108615046E-2</v>
      </c>
      <c r="I23" s="157">
        <f t="shared" si="11"/>
        <v>0.10327968155070931</v>
      </c>
      <c r="J23" s="66">
        <f t="shared" si="11"/>
        <v>0.14824401016313268</v>
      </c>
      <c r="L23" s="40" t="s">
        <v>190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 x14ac:dyDescent="0.25">
      <c r="A24" s="32" t="s">
        <v>13</v>
      </c>
      <c r="B24" s="70">
        <f t="shared" ref="B24:J24" si="12">(B21-B22)</f>
        <v>0</v>
      </c>
      <c r="C24" s="60">
        <f t="shared" si="12"/>
        <v>265.1343989999998</v>
      </c>
      <c r="D24" s="60">
        <f t="shared" si="12"/>
        <v>257.20266500000025</v>
      </c>
      <c r="E24" s="60"/>
      <c r="F24" s="60">
        <f t="shared" si="12"/>
        <v>61.608226999999943</v>
      </c>
      <c r="G24" s="60">
        <f t="shared" si="12"/>
        <v>58.878000000000014</v>
      </c>
      <c r="H24" s="153">
        <f t="shared" si="12"/>
        <v>37.864000000000154</v>
      </c>
      <c r="I24" s="153">
        <f t="shared" si="12"/>
        <v>20.725000000000062</v>
      </c>
      <c r="J24" s="60">
        <f t="shared" si="12"/>
        <v>35.869999999999955</v>
      </c>
      <c r="L24" s="40" t="s">
        <v>178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 x14ac:dyDescent="0.25">
      <c r="A25" s="32" t="s">
        <v>80</v>
      </c>
      <c r="B25" s="56" t="e">
        <f t="shared" ref="B25:J25" si="13">B24/(B4)</f>
        <v>#DIV/0!</v>
      </c>
      <c r="C25" s="56">
        <f t="shared" si="13"/>
        <v>8.940560347365277E-2</v>
      </c>
      <c r="D25" s="56">
        <f t="shared" si="13"/>
        <v>8.615836894928032E-2</v>
      </c>
      <c r="E25" s="56" t="e">
        <f t="shared" si="13"/>
        <v>#DIV/0!</v>
      </c>
      <c r="F25" s="56">
        <f t="shared" si="13"/>
        <v>3.6481253153193664E-2</v>
      </c>
      <c r="G25" s="56">
        <f t="shared" si="13"/>
        <v>3.06759941250975E-2</v>
      </c>
      <c r="H25" s="158">
        <f t="shared" si="13"/>
        <v>1.9801897350612482E-2</v>
      </c>
      <c r="I25" s="158">
        <f t="shared" si="13"/>
        <v>4.8734662396358153E-2</v>
      </c>
      <c r="J25" s="56">
        <f t="shared" si="13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 x14ac:dyDescent="0.25">
      <c r="A26" s="34" t="s">
        <v>113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 x14ac:dyDescent="0.25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 x14ac:dyDescent="0.25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 x14ac:dyDescent="0.25">
      <c r="A29" s="32" t="s">
        <v>15</v>
      </c>
      <c r="B29" s="71">
        <f t="shared" ref="B29:J29" si="14">(B24-B27+B28)</f>
        <v>0</v>
      </c>
      <c r="C29" s="60">
        <f t="shared" si="14"/>
        <v>265.1343989999998</v>
      </c>
      <c r="D29" s="60">
        <f t="shared" si="14"/>
        <v>257.20266500000025</v>
      </c>
      <c r="E29" s="60">
        <f t="shared" si="14"/>
        <v>0</v>
      </c>
      <c r="F29" s="60">
        <f t="shared" si="14"/>
        <v>61.608226999999943</v>
      </c>
      <c r="G29" s="60">
        <f t="shared" si="14"/>
        <v>58.380000000000017</v>
      </c>
      <c r="H29" s="153">
        <f t="shared" si="14"/>
        <v>37.645000000000152</v>
      </c>
      <c r="I29" s="153">
        <f t="shared" si="14"/>
        <v>20.725000000000062</v>
      </c>
      <c r="J29" s="60">
        <f t="shared" si="14"/>
        <v>35.869999999999955</v>
      </c>
      <c r="L29" s="32" t="s">
        <v>44</v>
      </c>
      <c r="M29" s="69">
        <f t="shared" ref="M29:T29" si="15">SUM(M30:M39)</f>
        <v>0</v>
      </c>
      <c r="N29" s="69">
        <f t="shared" si="15"/>
        <v>0</v>
      </c>
      <c r="O29" s="60">
        <f t="shared" si="15"/>
        <v>2305.0868780000001</v>
      </c>
      <c r="P29" s="60">
        <f t="shared" si="15"/>
        <v>0</v>
      </c>
      <c r="Q29" s="60">
        <f t="shared" si="15"/>
        <v>474.75200000000001</v>
      </c>
      <c r="R29" s="60">
        <f t="shared" si="15"/>
        <v>513.80100000000004</v>
      </c>
      <c r="S29" s="60">
        <f t="shared" si="15"/>
        <v>557.97499999999991</v>
      </c>
      <c r="T29" s="60">
        <f t="shared" si="15"/>
        <v>510.93099999999998</v>
      </c>
    </row>
    <row r="30" spans="1:20" ht="15" customHeight="1" x14ac:dyDescent="0.25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6">(E29/D29-1)</f>
        <v>-1</v>
      </c>
      <c r="F30" s="54" t="e">
        <f t="shared" si="16"/>
        <v>#DIV/0!</v>
      </c>
      <c r="G30" s="57">
        <f t="shared" si="16"/>
        <v>-5.2399284270912894E-2</v>
      </c>
      <c r="H30" s="159">
        <f t="shared" si="16"/>
        <v>-0.35517300445357758</v>
      </c>
      <c r="I30" s="159">
        <f t="shared" si="16"/>
        <v>-0.44946207995749821</v>
      </c>
      <c r="J30" s="57">
        <f t="shared" si="16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 x14ac:dyDescent="0.25">
      <c r="A31" s="34" t="s">
        <v>113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 x14ac:dyDescent="0.25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 x14ac:dyDescent="0.25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7">(E32/D32-1)</f>
        <v>-1</v>
      </c>
      <c r="F33" s="58" t="e">
        <f t="shared" si="17"/>
        <v>#DIV/0!</v>
      </c>
      <c r="G33" s="58">
        <f t="shared" si="17"/>
        <v>-0.16910229645093944</v>
      </c>
      <c r="H33" s="161">
        <f t="shared" si="17"/>
        <v>-0.35678391959798994</v>
      </c>
      <c r="I33" s="161">
        <f t="shared" si="17"/>
        <v>-0.453125</v>
      </c>
      <c r="J33" s="58">
        <f t="shared" si="17"/>
        <v>0.73571428571428599</v>
      </c>
      <c r="L33" s="40" t="s">
        <v>191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 x14ac:dyDescent="0.3">
      <c r="A34" s="35" t="s">
        <v>113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192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 x14ac:dyDescent="0.25">
      <c r="A35" s="179"/>
      <c r="K35" s="19"/>
      <c r="L35" s="40" t="s">
        <v>163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 x14ac:dyDescent="0.3">
      <c r="A36" s="179"/>
      <c r="K36" s="19"/>
      <c r="L36" s="40" t="s">
        <v>193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 x14ac:dyDescent="0.25">
      <c r="A37" s="489" t="s">
        <v>103</v>
      </c>
      <c r="B37" s="490"/>
      <c r="C37" s="490"/>
      <c r="D37" s="490"/>
      <c r="E37" s="490"/>
      <c r="F37" s="490"/>
      <c r="G37" s="490"/>
      <c r="H37" s="491"/>
      <c r="I37" s="243"/>
      <c r="J37" s="238"/>
      <c r="K37" s="19"/>
      <c r="L37" s="40" t="s">
        <v>194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 x14ac:dyDescent="0.25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169</v>
      </c>
      <c r="J38" s="2" t="s">
        <v>223</v>
      </c>
      <c r="K38" s="19"/>
      <c r="L38" s="33" t="s">
        <v>161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 x14ac:dyDescent="0.25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 x14ac:dyDescent="0.25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 x14ac:dyDescent="0.25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8">SUM(M42:M48)</f>
        <v>0</v>
      </c>
      <c r="N41" s="69">
        <f t="shared" si="18"/>
        <v>0</v>
      </c>
      <c r="O41" s="60">
        <f t="shared" si="18"/>
        <v>691.272784</v>
      </c>
      <c r="P41" s="60">
        <f t="shared" si="18"/>
        <v>0</v>
      </c>
      <c r="Q41" s="60">
        <f t="shared" si="18"/>
        <v>159.27300000000002</v>
      </c>
      <c r="R41" s="60">
        <f t="shared" si="18"/>
        <v>239.16300000000001</v>
      </c>
      <c r="S41" s="60">
        <f t="shared" si="18"/>
        <v>257.68200000000002</v>
      </c>
      <c r="T41" s="167">
        <f t="shared" ref="T41" si="19">SUM(T42:T47)</f>
        <v>225.143</v>
      </c>
    </row>
    <row r="42" spans="1:20" ht="15" customHeight="1" x14ac:dyDescent="0.3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 x14ac:dyDescent="0.3">
      <c r="A43" s="32" t="s">
        <v>20</v>
      </c>
      <c r="B43" s="60">
        <f t="shared" ref="B43:D43" si="20">+B40+B41+B42</f>
        <v>0</v>
      </c>
      <c r="C43" s="60">
        <f t="shared" si="20"/>
        <v>0</v>
      </c>
      <c r="D43" s="60">
        <f t="shared" si="20"/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181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 x14ac:dyDescent="0.35">
      <c r="A44" s="41" t="s">
        <v>72</v>
      </c>
      <c r="B44" s="62">
        <f t="shared" ref="B44:D44" si="21">+B39+B43</f>
        <v>0</v>
      </c>
      <c r="C44" s="62">
        <f t="shared" si="21"/>
        <v>0</v>
      </c>
      <c r="D44" s="62">
        <f t="shared" si="21"/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 x14ac:dyDescent="0.3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 x14ac:dyDescent="0.35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 x14ac:dyDescent="0.25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169</v>
      </c>
      <c r="J47" s="2" t="s">
        <v>223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 x14ac:dyDescent="0.25">
      <c r="A48" s="32" t="s">
        <v>22</v>
      </c>
      <c r="B48" s="60">
        <f t="shared" ref="B48:D48" si="22">B21</f>
        <v>0</v>
      </c>
      <c r="C48" s="60">
        <f t="shared" si="22"/>
        <v>356.98752799999977</v>
      </c>
      <c r="D48" s="60">
        <f t="shared" si="22"/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 x14ac:dyDescent="0.25">
      <c r="A49" s="33" t="s">
        <v>23</v>
      </c>
      <c r="B49" s="64">
        <f t="shared" ref="B49:D49" si="23">B18</f>
        <v>0</v>
      </c>
      <c r="C49" s="64">
        <f t="shared" si="23"/>
        <v>67.671909999999997</v>
      </c>
      <c r="D49" s="64">
        <f t="shared" si="23"/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24">(M29-M41-M9)</f>
        <v>0</v>
      </c>
      <c r="N49" s="69">
        <f t="shared" si="24"/>
        <v>0</v>
      </c>
      <c r="O49" s="60">
        <f t="shared" si="24"/>
        <v>909.5639930000001</v>
      </c>
      <c r="P49" s="60">
        <f t="shared" si="24"/>
        <v>0</v>
      </c>
      <c r="Q49" s="60">
        <f t="shared" si="24"/>
        <v>280.56</v>
      </c>
      <c r="R49" s="60">
        <f t="shared" si="24"/>
        <v>204.68100000000004</v>
      </c>
      <c r="S49" s="60">
        <f t="shared" si="24"/>
        <v>212.8829999999999</v>
      </c>
      <c r="T49" s="167">
        <f>(T29-T41-T9)</f>
        <v>285.78800000000001</v>
      </c>
    </row>
    <row r="50" spans="1:20" ht="15" customHeight="1" x14ac:dyDescent="0.3">
      <c r="A50" s="33" t="s">
        <v>24</v>
      </c>
      <c r="B50" s="64">
        <f t="shared" ref="B50:D50" si="25">B20</f>
        <v>0</v>
      </c>
      <c r="C50" s="64">
        <f t="shared" si="25"/>
        <v>0</v>
      </c>
      <c r="D50" s="64">
        <f t="shared" si="25"/>
        <v>0</v>
      </c>
      <c r="E50" s="64"/>
      <c r="F50" s="64"/>
      <c r="G50" s="64">
        <f>F20</f>
        <v>0</v>
      </c>
      <c r="H50" s="64">
        <f t="shared" ref="H50:I50" si="26">G20</f>
        <v>0</v>
      </c>
      <c r="I50" s="64">
        <f t="shared" si="26"/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 x14ac:dyDescent="0.3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 x14ac:dyDescent="0.3">
      <c r="A52" s="33" t="s">
        <v>26</v>
      </c>
      <c r="B52" s="64">
        <f t="shared" ref="B52:D52" si="27">-B22</f>
        <v>0</v>
      </c>
      <c r="C52" s="64">
        <f t="shared" si="27"/>
        <v>-91.853128999999996</v>
      </c>
      <c r="D52" s="64">
        <f t="shared" si="27"/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181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 x14ac:dyDescent="0.3">
      <c r="A53" s="32" t="s">
        <v>27</v>
      </c>
      <c r="B53" s="60">
        <f t="shared" ref="B53:D53" si="28">SUM(B48:B52)</f>
        <v>0</v>
      </c>
      <c r="C53" s="60">
        <f t="shared" si="28"/>
        <v>332.80630899999983</v>
      </c>
      <c r="D53" s="60">
        <f t="shared" si="28"/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 x14ac:dyDescent="0.25">
      <c r="A54" s="33" t="s">
        <v>28</v>
      </c>
      <c r="B54" s="64"/>
      <c r="C54" s="64">
        <f t="shared" ref="C54" si="29">-(N16-M16)</f>
        <v>0</v>
      </c>
      <c r="D54" s="74">
        <f t="shared" ref="D54" si="30"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164</v>
      </c>
      <c r="M54" s="4"/>
      <c r="N54" s="4"/>
      <c r="O54" s="7"/>
      <c r="P54" s="7"/>
      <c r="Q54" s="7"/>
      <c r="R54" s="7"/>
      <c r="S54" s="7"/>
    </row>
    <row r="55" spans="1:20" ht="15" customHeight="1" thickBot="1" x14ac:dyDescent="0.3">
      <c r="A55" s="41" t="s">
        <v>29</v>
      </c>
      <c r="B55" s="62">
        <f t="shared" ref="B55:D55" si="31">SUM(B53:B54)</f>
        <v>0</v>
      </c>
      <c r="C55" s="62">
        <f t="shared" si="31"/>
        <v>332.80630899999983</v>
      </c>
      <c r="D55" s="62">
        <f t="shared" si="31"/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32">O15+O29</f>
        <v>3519.666577</v>
      </c>
      <c r="P55" s="60">
        <f t="shared" si="32"/>
        <v>0</v>
      </c>
      <c r="Q55" s="60">
        <f t="shared" si="32"/>
        <v>813.07300000000009</v>
      </c>
      <c r="R55" s="60">
        <f t="shared" si="32"/>
        <v>977.84100000000012</v>
      </c>
      <c r="S55" s="60">
        <f t="shared" si="32"/>
        <v>1014.7639999999999</v>
      </c>
      <c r="T55" s="167">
        <f t="shared" si="32"/>
        <v>911.96100000000001</v>
      </c>
    </row>
    <row r="56" spans="1:20" ht="15" customHeight="1" thickBot="1" x14ac:dyDescent="0.3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 x14ac:dyDescent="0.3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 x14ac:dyDescent="0.3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169</v>
      </c>
      <c r="J58" s="239" t="s">
        <v>223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 x14ac:dyDescent="0.25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489" t="s">
        <v>101</v>
      </c>
      <c r="M59" s="490"/>
      <c r="N59" s="490"/>
      <c r="O59" s="490"/>
      <c r="P59" s="490"/>
      <c r="Q59" s="490"/>
      <c r="R59" s="490"/>
      <c r="S59" s="491"/>
    </row>
    <row r="60" spans="1:20" ht="15" customHeight="1" x14ac:dyDescent="0.25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169</v>
      </c>
      <c r="T60" s="169" t="s">
        <v>223</v>
      </c>
    </row>
    <row r="61" spans="1:20" ht="15" customHeight="1" x14ac:dyDescent="0.25">
      <c r="A61" s="33" t="s">
        <v>77</v>
      </c>
      <c r="B61" s="64">
        <f t="shared" ref="B61:D61" si="33">M10</f>
        <v>0</v>
      </c>
      <c r="C61" s="64">
        <f t="shared" si="33"/>
        <v>0</v>
      </c>
      <c r="D61" s="64">
        <f t="shared" si="33"/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 x14ac:dyDescent="0.25">
      <c r="A62" s="33" t="s">
        <v>75</v>
      </c>
      <c r="B62" s="64">
        <f t="shared" ref="B62:D62" si="34">M34</f>
        <v>0</v>
      </c>
      <c r="C62" s="64">
        <f t="shared" si="34"/>
        <v>0</v>
      </c>
      <c r="D62" s="64">
        <f t="shared" si="34"/>
        <v>65.760679999999994</v>
      </c>
      <c r="E62" s="64"/>
      <c r="F62" s="64"/>
      <c r="G62" s="64">
        <f>Q33+Q35</f>
        <v>66.286000000000001</v>
      </c>
      <c r="H62" s="64">
        <f t="shared" ref="H62:J62" si="35">R33+R35</f>
        <v>38.247</v>
      </c>
      <c r="I62" s="64">
        <f t="shared" si="35"/>
        <v>16.384</v>
      </c>
      <c r="J62" s="64">
        <f t="shared" si="35"/>
        <v>40.212000000000003</v>
      </c>
      <c r="L62" s="48" t="s">
        <v>52</v>
      </c>
      <c r="M62" s="75">
        <f t="shared" ref="M62:S62" si="36">B32</f>
        <v>0</v>
      </c>
      <c r="N62" s="75">
        <f t="shared" si="36"/>
        <v>15.83</v>
      </c>
      <c r="O62" s="60">
        <f t="shared" si="36"/>
        <v>13.99</v>
      </c>
      <c r="P62" s="60">
        <f t="shared" si="36"/>
        <v>0</v>
      </c>
      <c r="Q62" s="60">
        <f t="shared" si="36"/>
        <v>4.79</v>
      </c>
      <c r="R62" s="60">
        <f t="shared" si="36"/>
        <v>3.98</v>
      </c>
      <c r="S62" s="153">
        <f t="shared" si="36"/>
        <v>2.56</v>
      </c>
      <c r="T62" s="182">
        <f>J32</f>
        <v>2.4300000000000002</v>
      </c>
    </row>
    <row r="63" spans="1:20" ht="15" customHeight="1" thickBot="1" x14ac:dyDescent="0.3">
      <c r="A63" s="41" t="s">
        <v>76</v>
      </c>
      <c r="B63" s="62">
        <f t="shared" ref="B63:H63" si="37">B60+B61-B62</f>
        <v>0</v>
      </c>
      <c r="C63" s="62">
        <f t="shared" si="37"/>
        <v>0</v>
      </c>
      <c r="D63" s="62">
        <f t="shared" si="37"/>
        <v>4218.3248257000005</v>
      </c>
      <c r="E63" s="62"/>
      <c r="F63" s="62"/>
      <c r="G63" s="62">
        <f t="shared" si="37"/>
        <v>576.79700000000003</v>
      </c>
      <c r="H63" s="175">
        <f t="shared" si="37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38">(M6*1000000)/B59</f>
        <v>#DIV/0!</v>
      </c>
      <c r="N63" s="76" t="e">
        <f t="shared" si="38"/>
        <v>#DIV/0!</v>
      </c>
      <c r="O63" s="64">
        <f t="shared" si="38"/>
        <v>125.07065131538594</v>
      </c>
      <c r="P63" s="64" t="e">
        <f t="shared" si="38"/>
        <v>#DIV/0!</v>
      </c>
      <c r="Q63" s="64" t="e">
        <f t="shared" si="38"/>
        <v>#DIV/0!</v>
      </c>
      <c r="R63" s="64">
        <f t="shared" si="38"/>
        <v>42.72104978354978</v>
      </c>
      <c r="S63" s="170">
        <f t="shared" si="38"/>
        <v>44.061620670995673</v>
      </c>
      <c r="T63" s="183">
        <f>(T6*1000000)/J59</f>
        <v>45.487892316017316</v>
      </c>
    </row>
    <row r="64" spans="1:20" ht="15" customHeight="1" x14ac:dyDescent="0.25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 x14ac:dyDescent="0.25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39">(M61/M62)</f>
        <v>#DIV/0!</v>
      </c>
      <c r="N65" s="76">
        <f t="shared" si="39"/>
        <v>4.8389134554643078</v>
      </c>
      <c r="O65" s="64">
        <f t="shared" si="39"/>
        <v>14.574696211579701</v>
      </c>
      <c r="P65" s="64" t="e">
        <f t="shared" si="39"/>
        <v>#DIV/0!</v>
      </c>
      <c r="Q65" s="64">
        <f t="shared" si="39"/>
        <v>15.323590814196244</v>
      </c>
      <c r="R65" s="64">
        <f t="shared" si="39"/>
        <v>10.301507537688442</v>
      </c>
      <c r="S65" s="170">
        <f t="shared" si="39"/>
        <v>15.234375</v>
      </c>
      <c r="T65" s="183">
        <f t="shared" ref="T65" si="40">(T61/T62)</f>
        <v>14.8559670781893</v>
      </c>
    </row>
    <row r="66" spans="1:20" ht="15" customHeight="1" x14ac:dyDescent="0.25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41">(M61/M63)</f>
        <v>#DIV/0!</v>
      </c>
      <c r="N66" s="76" t="e">
        <f t="shared" si="41"/>
        <v>#DIV/0!</v>
      </c>
      <c r="O66" s="64">
        <f t="shared" si="41"/>
        <v>1.6302785494083105</v>
      </c>
      <c r="P66" s="64" t="e">
        <f t="shared" si="41"/>
        <v>#DIV/0!</v>
      </c>
      <c r="Q66" s="64" t="e">
        <f t="shared" si="41"/>
        <v>#DIV/0!</v>
      </c>
      <c r="R66" s="64">
        <f t="shared" si="41"/>
        <v>0.95971424409583472</v>
      </c>
      <c r="S66" s="170">
        <f t="shared" si="41"/>
        <v>0.88512404687085033</v>
      </c>
      <c r="T66" s="183">
        <f t="shared" ref="T66" si="42">(T61/T63)</f>
        <v>0.79361777743411455</v>
      </c>
    </row>
    <row r="67" spans="1:20" ht="15" customHeight="1" x14ac:dyDescent="0.25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43">B63/B13</f>
        <v>#DIV/0!</v>
      </c>
      <c r="N67" s="76">
        <f t="shared" si="43"/>
        <v>0</v>
      </c>
      <c r="O67" s="64">
        <f t="shared" si="43"/>
        <v>9.0594118689254337</v>
      </c>
      <c r="P67" s="64" t="e">
        <f t="shared" si="43"/>
        <v>#DIV/0!</v>
      </c>
      <c r="Q67" s="64">
        <f t="shared" si="43"/>
        <v>0</v>
      </c>
      <c r="R67" s="64">
        <f t="shared" si="43"/>
        <v>6.9695984726736659</v>
      </c>
      <c r="S67" s="170">
        <f t="shared" si="43"/>
        <v>10.568343826421742</v>
      </c>
      <c r="T67" s="183">
        <f>J63/J13</f>
        <v>11.390693380112651</v>
      </c>
    </row>
    <row r="68" spans="1:20" ht="15" customHeight="1" x14ac:dyDescent="0.25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44">(B24/M6)</f>
        <v>#DIV/0!</v>
      </c>
      <c r="N68" s="58" t="e">
        <f t="shared" si="44"/>
        <v>#DIV/0!</v>
      </c>
      <c r="O68" s="58">
        <f t="shared" si="44"/>
        <v>0.12281918366643887</v>
      </c>
      <c r="P68" s="58" t="e">
        <f t="shared" si="44"/>
        <v>#DIV/0!</v>
      </c>
      <c r="Q68" s="58">
        <f t="shared" si="44"/>
        <v>0.10584260248696892</v>
      </c>
      <c r="R68" s="58">
        <f t="shared" si="44"/>
        <v>9.3222163815652001E-2</v>
      </c>
      <c r="S68" s="161">
        <f t="shared" si="44"/>
        <v>5.8126486206012754E-2</v>
      </c>
      <c r="T68" s="185">
        <f>(J24/T6)</f>
        <v>5.3338845162700509E-2</v>
      </c>
    </row>
    <row r="69" spans="1:20" ht="15" customHeight="1" x14ac:dyDescent="0.25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 x14ac:dyDescent="0.25">
      <c r="A70" s="179"/>
      <c r="L70" s="49" t="s">
        <v>60</v>
      </c>
      <c r="M70" s="77" t="e">
        <f t="shared" ref="M70:S70" si="45">(M10/M6)</f>
        <v>#DIV/0!</v>
      </c>
      <c r="N70" s="77" t="e">
        <f t="shared" si="45"/>
        <v>#DIV/0!</v>
      </c>
      <c r="O70" s="64">
        <f t="shared" si="45"/>
        <v>0.41545408157860569</v>
      </c>
      <c r="P70" s="64" t="e">
        <f t="shared" si="45"/>
        <v>#DIV/0!</v>
      </c>
      <c r="Q70" s="64">
        <f t="shared" si="45"/>
        <v>6.3461003240137856E-2</v>
      </c>
      <c r="R70" s="64">
        <f t="shared" si="45"/>
        <v>0.11243405511187674</v>
      </c>
      <c r="S70" s="170">
        <f t="shared" si="45"/>
        <v>0.13435686137852371</v>
      </c>
      <c r="T70" s="183">
        <f>(T10/T6)</f>
        <v>0</v>
      </c>
    </row>
    <row r="71" spans="1:20" ht="15" customHeight="1" x14ac:dyDescent="0.25">
      <c r="A71" s="179"/>
      <c r="L71" s="49" t="s">
        <v>61</v>
      </c>
      <c r="M71" s="77" t="e">
        <f t="shared" ref="M71:S71" si="46">(M10-M34)/M6</f>
        <v>#DIV/0!</v>
      </c>
      <c r="N71" s="77" t="e">
        <f t="shared" si="46"/>
        <v>#DIV/0!</v>
      </c>
      <c r="O71" s="64">
        <f t="shared" si="46"/>
        <v>0.38405210121829375</v>
      </c>
      <c r="P71" s="64" t="e">
        <f t="shared" si="46"/>
        <v>#DIV/0!</v>
      </c>
      <c r="Q71" s="64">
        <f t="shared" si="46"/>
        <v>6.3461003240137856E-2</v>
      </c>
      <c r="R71" s="64">
        <f t="shared" si="46"/>
        <v>0.11243405511187674</v>
      </c>
      <c r="S71" s="170">
        <f t="shared" si="46"/>
        <v>0.13435686137852371</v>
      </c>
      <c r="T71" s="183">
        <f>(T10-T34)/T6</f>
        <v>0</v>
      </c>
    </row>
    <row r="72" spans="1:20" ht="15" customHeight="1" x14ac:dyDescent="0.25">
      <c r="A72" s="179"/>
      <c r="L72" s="49" t="s">
        <v>62</v>
      </c>
      <c r="M72" s="66">
        <f t="shared" ref="M72:S72" si="47">(M64/M61)</f>
        <v>0</v>
      </c>
      <c r="N72" s="66">
        <f t="shared" si="47"/>
        <v>0</v>
      </c>
      <c r="O72" s="66">
        <f t="shared" si="47"/>
        <v>9.8087297694948502E-3</v>
      </c>
      <c r="P72" s="66">
        <f t="shared" si="47"/>
        <v>4.7543581616481777E-2</v>
      </c>
      <c r="Q72" s="66">
        <f t="shared" si="47"/>
        <v>2.7247956403269751E-2</v>
      </c>
      <c r="R72" s="67">
        <f t="shared" si="47"/>
        <v>0</v>
      </c>
      <c r="S72" s="172">
        <f t="shared" si="47"/>
        <v>0</v>
      </c>
      <c r="T72" s="187">
        <f t="shared" ref="T72" si="48">(T64/T61)</f>
        <v>0</v>
      </c>
    </row>
    <row r="73" spans="1:20" ht="15" customHeight="1" x14ac:dyDescent="0.25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 x14ac:dyDescent="0.25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 x14ac:dyDescent="0.25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 x14ac:dyDescent="0.25">
      <c r="A76" s="179"/>
      <c r="L76" s="49" t="s">
        <v>81</v>
      </c>
      <c r="M76" s="190"/>
      <c r="N76" s="190" t="e">
        <f t="shared" ref="N76:R76" si="49">(N75+N73-N74)</f>
        <v>#DIV/0!</v>
      </c>
      <c r="O76" s="26">
        <f t="shared" si="49"/>
        <v>291.65854784659734</v>
      </c>
      <c r="P76" s="26" t="e">
        <f t="shared" si="49"/>
        <v>#DIV/0!</v>
      </c>
      <c r="Q76" s="26" t="e">
        <f t="shared" si="49"/>
        <v>#DIV/0!</v>
      </c>
      <c r="R76" s="26" t="e">
        <f t="shared" si="49"/>
        <v>#DIV/0!</v>
      </c>
      <c r="S76" s="191" t="e">
        <f t="shared" ref="S76" si="50">(S75+S73-S74)</f>
        <v>#DIV/0!</v>
      </c>
      <c r="T76" s="192" t="e">
        <f>(T75+T73-T74)</f>
        <v>#DIV/0!</v>
      </c>
    </row>
    <row r="77" spans="1:20" ht="15" customHeight="1" x14ac:dyDescent="0.25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 x14ac:dyDescent="0.3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 x14ac:dyDescent="0.3">
      <c r="L79" s="35" t="s">
        <v>106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 x14ac:dyDescent="0.25">
      <c r="M81" s="28"/>
      <c r="N81" s="28"/>
      <c r="O81" s="28"/>
      <c r="P81" s="28"/>
    </row>
    <row r="93" spans="13:16" ht="15" customHeight="1" x14ac:dyDescent="0.25">
      <c r="M93" s="1"/>
    </row>
    <row r="94" spans="13:16" ht="15" customHeight="1" x14ac:dyDescent="0.25">
      <c r="M94" s="1"/>
    </row>
    <row r="95" spans="13:16" ht="15" customHeight="1" x14ac:dyDescent="0.25">
      <c r="M95" s="1"/>
    </row>
    <row r="96" spans="13:16" ht="15" customHeight="1" x14ac:dyDescent="0.25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01"/>
  <sheetViews>
    <sheetView tabSelected="1" topLeftCell="A28" zoomScale="70" zoomScaleNormal="70" zoomScaleSheetLayoutView="85" workbookViewId="0">
      <selection activeCell="AG64" sqref="AG64"/>
    </sheetView>
  </sheetViews>
  <sheetFormatPr defaultColWidth="9.109375" defaultRowHeight="15" customHeight="1" x14ac:dyDescent="0.3"/>
  <cols>
    <col min="1" max="1" width="50.88671875" style="368" customWidth="1"/>
    <col min="2" max="5" width="12.5546875" style="282" hidden="1" customWidth="1"/>
    <col min="6" max="6" width="21.44140625" style="386" customWidth="1"/>
    <col min="7" max="7" width="15.5546875" style="403" customWidth="1"/>
    <col min="8" max="8" width="16.5546875" style="403" customWidth="1"/>
    <col min="9" max="9" width="15.5546875" style="413" customWidth="1"/>
    <col min="10" max="10" width="17.33203125" style="413" customWidth="1"/>
    <col min="11" max="15" width="16.109375" style="403" customWidth="1"/>
    <col min="16" max="16" width="4.6640625" style="273" customWidth="1"/>
    <col min="17" max="17" width="44.44140625" style="368" bestFit="1" customWidth="1"/>
    <col min="18" max="21" width="12.5546875" style="282" hidden="1" customWidth="1"/>
    <col min="22" max="22" width="13" style="386" bestFit="1" customWidth="1"/>
    <col min="23" max="23" width="13.33203125" style="450" customWidth="1"/>
    <col min="24" max="24" width="14.88671875" style="386" customWidth="1"/>
    <col min="25" max="25" width="13.109375" style="269" hidden="1" customWidth="1"/>
    <col min="26" max="26" width="8.6640625" style="269" hidden="1" customWidth="1"/>
    <col min="27" max="27" width="13.5546875" style="386" customWidth="1"/>
    <col min="28" max="28" width="13" style="386" customWidth="1"/>
    <col min="29" max="32" width="15.109375" style="386" customWidth="1"/>
    <col min="33" max="33" width="13.109375" style="269" customWidth="1"/>
    <col min="34" max="34" width="10.109375" style="269" bestFit="1" customWidth="1"/>
    <col min="35" max="35" width="9.109375" style="269"/>
    <col min="36" max="36" width="9.5546875" style="269" bestFit="1" customWidth="1"/>
    <col min="37" max="37" width="10.6640625" style="269" bestFit="1" customWidth="1"/>
    <col min="38" max="16384" width="9.109375" style="269"/>
  </cols>
  <sheetData>
    <row r="1" spans="1:39" ht="15" customHeight="1" thickBot="1" x14ac:dyDescent="0.35">
      <c r="A1" s="473" t="s">
        <v>184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54"/>
      <c r="AE1" s="454"/>
      <c r="AF1" s="454"/>
    </row>
    <row r="2" spans="1:39" ht="15" customHeight="1" x14ac:dyDescent="0.3">
      <c r="A2" s="478" t="s">
        <v>104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57"/>
      <c r="O2" s="457"/>
      <c r="P2" s="312"/>
      <c r="Q2" s="476" t="s">
        <v>105</v>
      </c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55"/>
      <c r="AE2" s="455"/>
      <c r="AF2" s="455"/>
      <c r="AG2" s="301"/>
      <c r="AH2" s="301"/>
      <c r="AI2" s="301"/>
      <c r="AJ2" s="301"/>
      <c r="AK2" s="301"/>
      <c r="AL2" s="301"/>
      <c r="AM2" s="301"/>
    </row>
    <row r="3" spans="1:39" ht="15" customHeight="1" x14ac:dyDescent="0.3">
      <c r="A3" s="359" t="s">
        <v>0</v>
      </c>
      <c r="B3" s="321" t="s">
        <v>31</v>
      </c>
      <c r="C3" s="321" t="s">
        <v>32</v>
      </c>
      <c r="D3" s="321" t="s">
        <v>33</v>
      </c>
      <c r="E3" s="321"/>
      <c r="F3" s="320" t="s">
        <v>85</v>
      </c>
      <c r="G3" s="398" t="s">
        <v>90</v>
      </c>
      <c r="H3" s="398" t="s">
        <v>169</v>
      </c>
      <c r="I3" s="398" t="s">
        <v>224</v>
      </c>
      <c r="J3" s="398" t="s">
        <v>229</v>
      </c>
      <c r="K3" s="398" t="s">
        <v>231</v>
      </c>
      <c r="L3" s="398" t="s">
        <v>232</v>
      </c>
      <c r="M3" s="398" t="s">
        <v>234</v>
      </c>
      <c r="N3" s="398" t="s">
        <v>237</v>
      </c>
      <c r="O3" s="398" t="s">
        <v>240</v>
      </c>
      <c r="P3" s="312"/>
      <c r="Q3" s="359" t="s">
        <v>0</v>
      </c>
      <c r="R3" s="320" t="s">
        <v>31</v>
      </c>
      <c r="S3" s="320" t="s">
        <v>32</v>
      </c>
      <c r="T3" s="321" t="s">
        <v>33</v>
      </c>
      <c r="U3" s="321"/>
      <c r="V3" s="320" t="s">
        <v>85</v>
      </c>
      <c r="W3" s="449" t="s">
        <v>90</v>
      </c>
      <c r="X3" s="398" t="s">
        <v>169</v>
      </c>
      <c r="Y3" s="322" t="s">
        <v>222</v>
      </c>
      <c r="Z3" s="322" t="s">
        <v>223</v>
      </c>
      <c r="AA3" s="398" t="s">
        <v>224</v>
      </c>
      <c r="AB3" s="452" t="s">
        <v>229</v>
      </c>
      <c r="AC3" s="452" t="s">
        <v>231</v>
      </c>
      <c r="AD3" s="452" t="s">
        <v>232</v>
      </c>
      <c r="AE3" s="452" t="s">
        <v>234</v>
      </c>
      <c r="AF3" s="398" t="s">
        <v>237</v>
      </c>
    </row>
    <row r="4" spans="1:39" ht="15" customHeight="1" x14ac:dyDescent="0.3">
      <c r="A4" s="360" t="s">
        <v>1</v>
      </c>
      <c r="B4" s="270"/>
      <c r="C4" s="270">
        <v>2920.9041130000001</v>
      </c>
      <c r="D4" s="270">
        <v>2966.155182</v>
      </c>
      <c r="E4" s="270"/>
      <c r="F4" s="358">
        <v>1734.84</v>
      </c>
      <c r="G4" s="357">
        <v>2060.38</v>
      </c>
      <c r="H4" s="357">
        <v>2180.5</v>
      </c>
      <c r="I4" s="357">
        <v>2017.856</v>
      </c>
      <c r="J4" s="357">
        <v>2885.471</v>
      </c>
      <c r="K4" s="357">
        <v>4365.2190000000001</v>
      </c>
      <c r="L4" s="357">
        <v>4061.4659999999999</v>
      </c>
      <c r="M4" s="357">
        <v>5103.8900000000003</v>
      </c>
      <c r="N4" s="357">
        <v>6498.518</v>
      </c>
      <c r="O4" s="357">
        <v>1726.816</v>
      </c>
      <c r="P4" s="313"/>
      <c r="Q4" s="363" t="s">
        <v>36</v>
      </c>
      <c r="R4" s="271"/>
      <c r="S4" s="271"/>
      <c r="T4" s="271">
        <v>317.43792999999999</v>
      </c>
      <c r="U4" s="271"/>
      <c r="V4" s="437">
        <v>147.84</v>
      </c>
      <c r="W4" s="437">
        <v>147.84</v>
      </c>
      <c r="X4" s="437">
        <v>147.84</v>
      </c>
      <c r="Y4" s="346">
        <v>147.84</v>
      </c>
      <c r="Z4" s="346">
        <v>147.84</v>
      </c>
      <c r="AA4" s="451">
        <v>147.84</v>
      </c>
      <c r="AB4" s="451">
        <v>147.84</v>
      </c>
      <c r="AC4" s="453">
        <v>147.84</v>
      </c>
      <c r="AD4" s="453">
        <v>147.84</v>
      </c>
      <c r="AE4" s="453">
        <v>148.107</v>
      </c>
      <c r="AF4" s="453">
        <v>148.107</v>
      </c>
    </row>
    <row r="5" spans="1:39" ht="15" customHeight="1" x14ac:dyDescent="0.3">
      <c r="A5" s="361" t="s">
        <v>2</v>
      </c>
      <c r="B5" s="330"/>
      <c r="C5" s="272" t="e">
        <f>(#REF!/#REF!-1)</f>
        <v>#REF!</v>
      </c>
      <c r="D5" s="272">
        <f>(D4/C4-1)</f>
        <v>1.5492144640627536E-2</v>
      </c>
      <c r="E5" s="272"/>
      <c r="F5" s="335"/>
      <c r="G5" s="335">
        <f t="shared" ref="G5:K5" si="0">(G4/F4-1)</f>
        <v>0.18764842867353781</v>
      </c>
      <c r="H5" s="335">
        <f t="shared" si="0"/>
        <v>5.8299925256505958E-2</v>
      </c>
      <c r="I5" s="335">
        <f t="shared" si="0"/>
        <v>-7.4590231598257284E-2</v>
      </c>
      <c r="J5" s="335">
        <f t="shared" si="0"/>
        <v>0.42996873909733901</v>
      </c>
      <c r="K5" s="335">
        <f t="shared" si="0"/>
        <v>0.51282719528284981</v>
      </c>
      <c r="L5" s="335">
        <f>(L4/K4-1)</f>
        <v>-6.9584824953799584E-2</v>
      </c>
      <c r="M5" s="335">
        <f>(M4/L4-1)</f>
        <v>0.25666200332589284</v>
      </c>
      <c r="N5" s="335">
        <f>(N4/M4-1)</f>
        <v>0.27324805197604163</v>
      </c>
      <c r="O5" s="335"/>
      <c r="P5" s="314"/>
      <c r="Q5" s="363" t="s">
        <v>37</v>
      </c>
      <c r="R5" s="271"/>
      <c r="S5" s="271"/>
      <c r="T5" s="271">
        <v>1754.3154099999999</v>
      </c>
      <c r="U5" s="271"/>
      <c r="V5" s="437">
        <v>473.56400000000002</v>
      </c>
      <c r="W5" s="437">
        <v>553.95299999999997</v>
      </c>
      <c r="X5" s="437">
        <v>615.40200000000004</v>
      </c>
      <c r="Y5" s="346">
        <v>644.03200000000004</v>
      </c>
      <c r="Z5" s="346">
        <v>645.50400000000002</v>
      </c>
      <c r="AA5" s="451">
        <v>702.88</v>
      </c>
      <c r="AB5" s="451">
        <v>799.05100000000004</v>
      </c>
      <c r="AC5" s="453">
        <v>932.75599999999997</v>
      </c>
      <c r="AD5" s="453">
        <v>1019.168</v>
      </c>
      <c r="AE5" s="453">
        <v>1105.127</v>
      </c>
      <c r="AF5" s="453">
        <v>1272.578</v>
      </c>
    </row>
    <row r="6" spans="1:39" ht="15.6" x14ac:dyDescent="0.3">
      <c r="A6" s="362" t="s">
        <v>113</v>
      </c>
      <c r="B6" s="331"/>
      <c r="C6" s="274"/>
      <c r="D6" s="274"/>
      <c r="E6" s="274"/>
      <c r="F6" s="335"/>
      <c r="G6" s="399"/>
      <c r="H6" s="335">
        <f>+((H4/F4)^(1/2)-1)</f>
        <v>0.12111027258526708</v>
      </c>
      <c r="I6" s="335">
        <f t="shared" ref="I6:M6" si="1">+((I4/F4)^(1/3)-1)</f>
        <v>5.1663774413412078E-2</v>
      </c>
      <c r="J6" s="335">
        <f t="shared" si="1"/>
        <v>0.11881031762899785</v>
      </c>
      <c r="K6" s="335">
        <f t="shared" si="1"/>
        <v>0.26032721771996514</v>
      </c>
      <c r="L6" s="335">
        <f t="shared" si="1"/>
        <v>0.26259544190561512</v>
      </c>
      <c r="M6" s="335">
        <f t="shared" si="1"/>
        <v>0.20937651474755303</v>
      </c>
      <c r="N6" s="335">
        <f>+((N4/K4)^(1/3)-1)</f>
        <v>0.14183345424329374</v>
      </c>
      <c r="O6" s="335"/>
      <c r="P6" s="314"/>
      <c r="Q6" s="364" t="s">
        <v>38</v>
      </c>
      <c r="R6" s="276">
        <f t="shared" ref="R6:AC6" si="2">(R4+R5)</f>
        <v>0</v>
      </c>
      <c r="S6" s="276">
        <f t="shared" si="2"/>
        <v>0</v>
      </c>
      <c r="T6" s="276">
        <f t="shared" si="2"/>
        <v>2071.7533399999998</v>
      </c>
      <c r="U6" s="276">
        <f t="shared" si="2"/>
        <v>0</v>
      </c>
      <c r="V6" s="438">
        <f t="shared" si="2"/>
        <v>621.404</v>
      </c>
      <c r="W6" s="438">
        <f>(W4+W5)</f>
        <v>701.79300000000001</v>
      </c>
      <c r="X6" s="438">
        <f t="shared" si="2"/>
        <v>763.24200000000008</v>
      </c>
      <c r="Y6" s="347">
        <f t="shared" si="2"/>
        <v>791.87200000000007</v>
      </c>
      <c r="Z6" s="347">
        <f t="shared" si="2"/>
        <v>793.34400000000005</v>
      </c>
      <c r="AA6" s="438">
        <f t="shared" si="2"/>
        <v>850.72</v>
      </c>
      <c r="AB6" s="438">
        <f t="shared" si="2"/>
        <v>946.89100000000008</v>
      </c>
      <c r="AC6" s="438">
        <f t="shared" si="2"/>
        <v>1080.596</v>
      </c>
      <c r="AD6" s="438">
        <f>(AD4+AD5)</f>
        <v>1167.008</v>
      </c>
      <c r="AE6" s="438">
        <f>(AE4+AE5)</f>
        <v>1253.2339999999999</v>
      </c>
      <c r="AF6" s="438">
        <f>(AF4+AF5)</f>
        <v>1420.6849999999999</v>
      </c>
    </row>
    <row r="7" spans="1:39" ht="15" customHeight="1" x14ac:dyDescent="0.3">
      <c r="A7" s="360" t="s">
        <v>3</v>
      </c>
      <c r="B7" s="276">
        <f>SUM(B8:B9)</f>
        <v>0</v>
      </c>
      <c r="C7" s="276">
        <f>SUM(C8:C9)</f>
        <v>1231.5903639999999</v>
      </c>
      <c r="D7" s="276">
        <f>SUM(D8:D9)</f>
        <v>1196.7748139999999</v>
      </c>
      <c r="E7" s="276"/>
      <c r="F7" s="338">
        <f t="shared" ref="F7:O7" si="3">SUM(F8:F9)</f>
        <v>1636.807407</v>
      </c>
      <c r="G7" s="338">
        <f t="shared" si="3"/>
        <v>1950.24</v>
      </c>
      <c r="H7" s="338">
        <f t="shared" si="3"/>
        <v>2088.48</v>
      </c>
      <c r="I7" s="338">
        <f t="shared" si="3"/>
        <v>1922.335</v>
      </c>
      <c r="J7" s="338">
        <f t="shared" si="3"/>
        <v>2758.2040000000002</v>
      </c>
      <c r="K7" s="338">
        <f t="shared" si="3"/>
        <v>4183.1120000000001</v>
      </c>
      <c r="L7" s="338">
        <f t="shared" si="3"/>
        <v>3936.3159999999998</v>
      </c>
      <c r="M7" s="338">
        <f t="shared" si="3"/>
        <v>4969.9610000000002</v>
      </c>
      <c r="N7" s="338">
        <f t="shared" si="3"/>
        <v>6271.6440000000002</v>
      </c>
      <c r="O7" s="338">
        <f t="shared" si="3"/>
        <v>1681.9140000000002</v>
      </c>
      <c r="P7" s="315"/>
      <c r="Q7" s="363" t="s">
        <v>39</v>
      </c>
      <c r="R7" s="271">
        <v>0</v>
      </c>
      <c r="S7" s="271"/>
      <c r="T7" s="271"/>
      <c r="U7" s="271"/>
      <c r="V7" s="439"/>
      <c r="W7" s="439"/>
      <c r="X7" s="439"/>
      <c r="Y7" s="348"/>
      <c r="Z7" s="348"/>
      <c r="AA7" s="451"/>
      <c r="AB7" s="451"/>
      <c r="AC7" s="451"/>
      <c r="AD7" s="451"/>
      <c r="AE7" s="451"/>
      <c r="AF7" s="451"/>
    </row>
    <row r="8" spans="1:39" ht="15" customHeight="1" x14ac:dyDescent="0.3">
      <c r="A8" s="363" t="s">
        <v>67</v>
      </c>
      <c r="B8" s="271"/>
      <c r="C8" s="271">
        <v>256.98030299999999</v>
      </c>
      <c r="D8" s="271">
        <v>350.77166899999997</v>
      </c>
      <c r="E8" s="271"/>
      <c r="F8" s="356">
        <v>1602.8661629999999</v>
      </c>
      <c r="G8" s="400">
        <v>1430.47</v>
      </c>
      <c r="H8" s="400">
        <v>1467.3</v>
      </c>
      <c r="I8" s="356">
        <v>1570.665</v>
      </c>
      <c r="J8" s="356">
        <v>2166.5920000000001</v>
      </c>
      <c r="K8" s="356">
        <v>2916.0520000000001</v>
      </c>
      <c r="L8" s="356">
        <v>2934.7269999999999</v>
      </c>
      <c r="M8" s="356">
        <v>3768.723</v>
      </c>
      <c r="N8" s="356">
        <v>4888.0389999999998</v>
      </c>
      <c r="O8" s="356">
        <v>1303.9760000000001</v>
      </c>
      <c r="P8" s="315"/>
      <c r="Q8" s="363" t="s">
        <v>40</v>
      </c>
      <c r="R8" s="271"/>
      <c r="S8" s="271"/>
      <c r="T8" s="271">
        <v>165.77601200000001</v>
      </c>
      <c r="U8" s="271"/>
      <c r="V8" s="437">
        <v>2.645</v>
      </c>
      <c r="W8" s="437">
        <v>1.7210000000000001</v>
      </c>
      <c r="X8" s="437">
        <v>0.83799999999999997</v>
      </c>
      <c r="Y8" s="348">
        <v>0.72699999999999998</v>
      </c>
      <c r="Z8" s="348">
        <v>0</v>
      </c>
      <c r="AA8" s="451">
        <v>0</v>
      </c>
      <c r="AB8" s="451">
        <v>0</v>
      </c>
      <c r="AC8" s="453">
        <v>0</v>
      </c>
      <c r="AD8" s="453">
        <v>0</v>
      </c>
      <c r="AE8" s="453">
        <v>33.295999999999999</v>
      </c>
      <c r="AF8" s="453">
        <v>23.501999999999999</v>
      </c>
    </row>
    <row r="9" spans="1:39" ht="15" customHeight="1" x14ac:dyDescent="0.3">
      <c r="A9" s="363" t="s">
        <v>68</v>
      </c>
      <c r="B9" s="271"/>
      <c r="C9" s="271">
        <v>974.61006099999997</v>
      </c>
      <c r="D9" s="271">
        <v>846.00314500000002</v>
      </c>
      <c r="E9" s="271"/>
      <c r="F9" s="356">
        <v>33.941243999999998</v>
      </c>
      <c r="G9" s="400">
        <v>519.77</v>
      </c>
      <c r="H9" s="400">
        <v>621.17999999999995</v>
      </c>
      <c r="I9" s="356">
        <v>351.67</v>
      </c>
      <c r="J9" s="356">
        <v>591.61199999999997</v>
      </c>
      <c r="K9" s="356">
        <v>1267.06</v>
      </c>
      <c r="L9" s="356">
        <v>1001.5890000000001</v>
      </c>
      <c r="M9" s="356">
        <v>1201.2380000000001</v>
      </c>
      <c r="N9" s="356">
        <v>1383.605</v>
      </c>
      <c r="O9" s="356">
        <v>377.93799999999999</v>
      </c>
      <c r="P9" s="314"/>
      <c r="Q9" s="363" t="s">
        <v>41</v>
      </c>
      <c r="R9" s="271"/>
      <c r="S9" s="271"/>
      <c r="T9" s="271">
        <v>704.25010099999997</v>
      </c>
      <c r="U9" s="271"/>
      <c r="V9" s="440">
        <v>34.918999999999997</v>
      </c>
      <c r="W9" s="440">
        <v>69.956999999999994</v>
      </c>
      <c r="X9" s="440">
        <v>87.41</v>
      </c>
      <c r="Y9" s="348">
        <v>6.931</v>
      </c>
      <c r="Z9" s="348">
        <v>0</v>
      </c>
      <c r="AA9" s="451">
        <v>35.26</v>
      </c>
      <c r="AB9" s="451">
        <v>64.302999999999997</v>
      </c>
      <c r="AC9" s="453">
        <v>34.03</v>
      </c>
      <c r="AD9" s="453">
        <v>97.510999999999996</v>
      </c>
      <c r="AE9" s="453">
        <v>234.51599999999999</v>
      </c>
      <c r="AF9" s="453">
        <v>243.46799999999999</v>
      </c>
    </row>
    <row r="10" spans="1:39" ht="15" customHeight="1" x14ac:dyDescent="0.3">
      <c r="A10" s="364" t="s">
        <v>4</v>
      </c>
      <c r="B10" s="276">
        <v>0</v>
      </c>
      <c r="C10" s="276">
        <f>(C4-C7)</f>
        <v>1689.3137490000001</v>
      </c>
      <c r="D10" s="276">
        <f>(D4-D7)</f>
        <v>1769.3803680000001</v>
      </c>
      <c r="E10" s="276"/>
      <c r="F10" s="338">
        <f t="shared" ref="F10:O10" si="4">(F4-F7)</f>
        <v>98.032592999999906</v>
      </c>
      <c r="G10" s="338">
        <f t="shared" si="4"/>
        <v>110.1400000000001</v>
      </c>
      <c r="H10" s="338">
        <f t="shared" si="4"/>
        <v>92.019999999999982</v>
      </c>
      <c r="I10" s="338">
        <f t="shared" si="4"/>
        <v>95.520999999999958</v>
      </c>
      <c r="J10" s="338">
        <f t="shared" si="4"/>
        <v>127.26699999999983</v>
      </c>
      <c r="K10" s="338">
        <f t="shared" si="4"/>
        <v>182.10699999999997</v>
      </c>
      <c r="L10" s="338">
        <f t="shared" si="4"/>
        <v>125.15000000000009</v>
      </c>
      <c r="M10" s="338">
        <f t="shared" si="4"/>
        <v>133.92900000000009</v>
      </c>
      <c r="N10" s="338">
        <f t="shared" si="4"/>
        <v>226.8739999999998</v>
      </c>
      <c r="O10" s="338">
        <f t="shared" si="4"/>
        <v>44.901999999999816</v>
      </c>
      <c r="P10" s="314"/>
      <c r="Q10" s="364" t="s">
        <v>42</v>
      </c>
      <c r="R10" s="276">
        <f t="shared" ref="R10:AC10" si="5">(R8+R9)</f>
        <v>0</v>
      </c>
      <c r="S10" s="276">
        <f t="shared" si="5"/>
        <v>0</v>
      </c>
      <c r="T10" s="276">
        <f t="shared" si="5"/>
        <v>870.02611300000001</v>
      </c>
      <c r="U10" s="276">
        <f t="shared" si="5"/>
        <v>0</v>
      </c>
      <c r="V10" s="438">
        <f t="shared" si="5"/>
        <v>37.564</v>
      </c>
      <c r="W10" s="438">
        <f>(W8+W9)</f>
        <v>71.677999999999997</v>
      </c>
      <c r="X10" s="438">
        <f t="shared" si="5"/>
        <v>88.24799999999999</v>
      </c>
      <c r="Y10" s="347">
        <f t="shared" si="5"/>
        <v>7.6580000000000004</v>
      </c>
      <c r="Z10" s="347">
        <f t="shared" si="5"/>
        <v>0</v>
      </c>
      <c r="AA10" s="438">
        <f t="shared" si="5"/>
        <v>35.26</v>
      </c>
      <c r="AB10" s="438">
        <f t="shared" si="5"/>
        <v>64.302999999999997</v>
      </c>
      <c r="AC10" s="438">
        <f t="shared" si="5"/>
        <v>34.03</v>
      </c>
      <c r="AD10" s="438">
        <f>(AD8+AD9)</f>
        <v>97.510999999999996</v>
      </c>
      <c r="AE10" s="438">
        <f>(AE8+AE9)</f>
        <v>267.81200000000001</v>
      </c>
      <c r="AF10" s="438">
        <f>(AF8+AF9)</f>
        <v>266.96999999999997</v>
      </c>
    </row>
    <row r="11" spans="1:39" ht="15" customHeight="1" x14ac:dyDescent="0.3">
      <c r="A11" s="361" t="s">
        <v>2</v>
      </c>
      <c r="B11" s="272"/>
      <c r="C11" s="272" t="e">
        <f>(C10/B10-1)</f>
        <v>#DIV/0!</v>
      </c>
      <c r="D11" s="272">
        <f>(D10/C10-1)</f>
        <v>4.7395943499184634E-2</v>
      </c>
      <c r="E11" s="272"/>
      <c r="F11" s="335"/>
      <c r="G11" s="335">
        <f>(G10/F10-1)</f>
        <v>0.12350389426096497</v>
      </c>
      <c r="H11" s="335">
        <f>(H10/G10-1)</f>
        <v>-0.16451788632649444</v>
      </c>
      <c r="I11" s="335">
        <f>(I10/F10-1)</f>
        <v>-2.5619979265466886E-2</v>
      </c>
      <c r="J11" s="335">
        <f>(J10/I10-1)</f>
        <v>0.33234576689942408</v>
      </c>
      <c r="K11" s="335">
        <f>(K10/J10-1)</f>
        <v>0.43090510501544177</v>
      </c>
      <c r="L11" s="335">
        <f>(L10/K10-1)</f>
        <v>-0.3127666701444749</v>
      </c>
      <c r="M11" s="335">
        <f>(M10/L10-1)</f>
        <v>7.0147822612864452E-2</v>
      </c>
      <c r="N11" s="335">
        <f>(N10/M10-1)</f>
        <v>0.69398711257457046</v>
      </c>
      <c r="O11" s="335"/>
      <c r="P11" s="314"/>
      <c r="Q11" s="364" t="s">
        <v>43</v>
      </c>
      <c r="R11" s="276">
        <f>(R6+R8+R7+R51+R50+R48)</f>
        <v>0</v>
      </c>
      <c r="S11" s="276">
        <f>(S6+S8+S7+S51+S50+S48)</f>
        <v>0</v>
      </c>
      <c r="T11" s="276">
        <f>(T6+T8+T7+T51+T50+T48)</f>
        <v>2300.0839699999997</v>
      </c>
      <c r="U11" s="276">
        <f>(U6+U8+U7+U51+U50+U48)</f>
        <v>0</v>
      </c>
      <c r="V11" s="438">
        <f t="shared" ref="V11:AC11" si="6">(V6+V8+V7+V49+V51+V50+V48+V52)</f>
        <v>658.86399999999992</v>
      </c>
      <c r="W11" s="438">
        <f t="shared" si="6"/>
        <v>739.59699999999998</v>
      </c>
      <c r="X11" s="438">
        <f t="shared" si="6"/>
        <v>782.23900000000003</v>
      </c>
      <c r="Y11" s="347">
        <f t="shared" si="6"/>
        <v>808.524</v>
      </c>
      <c r="Z11" s="347">
        <f t="shared" si="6"/>
        <v>807.67100000000005</v>
      </c>
      <c r="AA11" s="438">
        <f t="shared" si="6"/>
        <v>866.99</v>
      </c>
      <c r="AB11" s="438">
        <f t="shared" si="6"/>
        <v>966.12100000000009</v>
      </c>
      <c r="AC11" s="438">
        <f t="shared" si="6"/>
        <v>1088.8819999999998</v>
      </c>
      <c r="AD11" s="438">
        <f>AD6+AD8+SUM(AD48:AD52)</f>
        <v>1184.5640000000001</v>
      </c>
      <c r="AE11" s="438">
        <f>(AE6+AE8+AE7+AE49+AE51+AE50+AE48+AE52)</f>
        <v>1329.499</v>
      </c>
      <c r="AF11" s="438">
        <f>(AF6+AF8+AF7+AF49+AF51+AF50+AF48+AF52)</f>
        <v>1513.6969999999999</v>
      </c>
    </row>
    <row r="12" spans="1:39" ht="15" customHeight="1" x14ac:dyDescent="0.3">
      <c r="A12" s="362" t="s">
        <v>113</v>
      </c>
      <c r="B12" s="331"/>
      <c r="C12" s="275"/>
      <c r="D12" s="275"/>
      <c r="E12" s="275"/>
      <c r="F12" s="379"/>
      <c r="G12" s="379"/>
      <c r="H12" s="335">
        <f>+((H10/F10)^(1/2)-1)</f>
        <v>-3.1151503950403225E-2</v>
      </c>
      <c r="I12" s="335">
        <f t="shared" ref="I12:M12" si="7">+((I10/F10)^(1/3)-1)</f>
        <v>-8.6139806975864541E-3</v>
      </c>
      <c r="J12" s="335">
        <f t="shared" si="7"/>
        <v>4.9357759403271695E-2</v>
      </c>
      <c r="K12" s="335">
        <f t="shared" si="7"/>
        <v>0.25549446863000114</v>
      </c>
      <c r="L12" s="335">
        <f t="shared" si="7"/>
        <v>9.4235157697295069E-2</v>
      </c>
      <c r="M12" s="335">
        <f t="shared" si="7"/>
        <v>1.7152973657362569E-2</v>
      </c>
      <c r="N12" s="335">
        <f>+((N10/K10)^(1/3)-1)</f>
        <v>7.601756966863138E-2</v>
      </c>
      <c r="O12" s="335"/>
      <c r="P12" s="314"/>
      <c r="Q12" s="364" t="s">
        <v>43</v>
      </c>
      <c r="R12" s="276">
        <f>R53-R38-R9</f>
        <v>0</v>
      </c>
      <c r="S12" s="276">
        <f>S53-S38-S9</f>
        <v>0</v>
      </c>
      <c r="T12" s="276">
        <f>T53-T38-T9</f>
        <v>2197.5983689999998</v>
      </c>
      <c r="U12" s="276">
        <f>U53-U38-U9</f>
        <v>0</v>
      </c>
      <c r="V12" s="438">
        <f t="shared" ref="V12:AF12" si="8">V53-V38</f>
        <v>658.86240000000009</v>
      </c>
      <c r="W12" s="438">
        <f t="shared" si="8"/>
        <v>739.596</v>
      </c>
      <c r="X12" s="438">
        <f t="shared" si="8"/>
        <v>782.23599999999999</v>
      </c>
      <c r="Y12" s="347">
        <f t="shared" si="8"/>
        <v>808.52299999999991</v>
      </c>
      <c r="Z12" s="347">
        <f t="shared" si="8"/>
        <v>807.67099999999994</v>
      </c>
      <c r="AA12" s="438">
        <f t="shared" si="8"/>
        <v>866.97999999999979</v>
      </c>
      <c r="AB12" s="438">
        <f t="shared" si="8"/>
        <v>966.11999999999966</v>
      </c>
      <c r="AC12" s="438">
        <f t="shared" si="8"/>
        <v>1088.8829999999998</v>
      </c>
      <c r="AD12" s="438">
        <f t="shared" si="8"/>
        <v>1184.5619999999999</v>
      </c>
      <c r="AE12" s="438">
        <f t="shared" si="8"/>
        <v>1329.4989999999998</v>
      </c>
      <c r="AF12" s="438">
        <f t="shared" si="8"/>
        <v>1513.6970000000001</v>
      </c>
      <c r="AG12" s="316"/>
    </row>
    <row r="13" spans="1:39" ht="15" customHeight="1" x14ac:dyDescent="0.3">
      <c r="A13" s="365" t="s">
        <v>5</v>
      </c>
      <c r="B13" s="278" t="e">
        <f>(B10/#REF!)</f>
        <v>#REF!</v>
      </c>
      <c r="C13" s="278">
        <f>(C10/C4)</f>
        <v>0.57835303167995511</v>
      </c>
      <c r="D13" s="278">
        <f>(D10/D4)</f>
        <v>0.59652319566333467</v>
      </c>
      <c r="E13" s="278"/>
      <c r="F13" s="340">
        <f t="shared" ref="F13:O13" si="9">(F10/F4)</f>
        <v>5.6508146572594536E-2</v>
      </c>
      <c r="G13" s="340">
        <f t="shared" si="9"/>
        <v>5.3456158572690524E-2</v>
      </c>
      <c r="H13" s="340">
        <f t="shared" si="9"/>
        <v>4.2201329970190313E-2</v>
      </c>
      <c r="I13" s="340">
        <f t="shared" si="9"/>
        <v>4.7337867518792202E-2</v>
      </c>
      <c r="J13" s="340">
        <f t="shared" si="9"/>
        <v>4.4106144196216085E-2</v>
      </c>
      <c r="K13" s="340">
        <f t="shared" si="9"/>
        <v>4.1717723669763181E-2</v>
      </c>
      <c r="L13" s="340">
        <f t="shared" si="9"/>
        <v>3.081399671941119E-2</v>
      </c>
      <c r="M13" s="340">
        <f t="shared" si="9"/>
        <v>2.624057336658903E-2</v>
      </c>
      <c r="N13" s="340">
        <f t="shared" si="9"/>
        <v>3.4911652164385756E-2</v>
      </c>
      <c r="O13" s="340">
        <f t="shared" si="9"/>
        <v>2.6002770416766938E-2</v>
      </c>
      <c r="P13" s="314"/>
      <c r="Q13" s="363"/>
      <c r="R13" s="271">
        <f>R11-R12</f>
        <v>0</v>
      </c>
      <c r="S13" s="271"/>
      <c r="T13" s="271"/>
      <c r="U13" s="271"/>
      <c r="V13" s="439"/>
      <c r="W13" s="439"/>
      <c r="X13" s="439"/>
      <c r="Y13" s="348"/>
      <c r="Z13" s="348"/>
      <c r="AA13" s="451"/>
      <c r="AB13" s="451"/>
      <c r="AC13" s="451"/>
      <c r="AD13" s="451"/>
      <c r="AE13" s="451"/>
      <c r="AF13" s="451"/>
    </row>
    <row r="14" spans="1:39" ht="15" customHeight="1" x14ac:dyDescent="0.3">
      <c r="A14" s="363" t="s">
        <v>6</v>
      </c>
      <c r="B14" s="271"/>
      <c r="C14" s="271">
        <v>101.894226</v>
      </c>
      <c r="D14" s="271">
        <v>114.769054</v>
      </c>
      <c r="E14" s="271"/>
      <c r="F14" s="356">
        <v>15.293526</v>
      </c>
      <c r="G14" s="356">
        <v>12.12</v>
      </c>
      <c r="H14" s="356">
        <v>5.99</v>
      </c>
      <c r="I14" s="356">
        <v>22.960999999999999</v>
      </c>
      <c r="J14" s="356">
        <v>11.788</v>
      </c>
      <c r="K14" s="356">
        <v>13.134</v>
      </c>
      <c r="L14" s="356">
        <v>23.279</v>
      </c>
      <c r="M14" s="356">
        <v>24.759</v>
      </c>
      <c r="N14" s="356">
        <v>22.454999999999998</v>
      </c>
      <c r="O14" s="356">
        <v>30.152999999999999</v>
      </c>
      <c r="P14" s="314"/>
      <c r="Q14" s="431" t="s">
        <v>87</v>
      </c>
      <c r="R14" s="277"/>
      <c r="S14" s="277"/>
      <c r="T14" s="277">
        <v>1481.9677489999999</v>
      </c>
      <c r="U14" s="277"/>
      <c r="V14" s="441"/>
      <c r="W14" s="441"/>
      <c r="X14" s="441"/>
      <c r="Y14" s="350"/>
      <c r="Z14" s="350"/>
      <c r="AA14" s="441"/>
      <c r="AB14" s="441"/>
      <c r="AC14" s="441"/>
      <c r="AD14" s="441"/>
      <c r="AE14" s="441"/>
      <c r="AF14" s="441"/>
    </row>
    <row r="15" spans="1:39" ht="15" customHeight="1" x14ac:dyDescent="0.3">
      <c r="A15" s="363" t="s">
        <v>7</v>
      </c>
      <c r="B15" s="271"/>
      <c r="C15" s="271">
        <v>67.671909999999997</v>
      </c>
      <c r="D15" s="271">
        <v>98.236097000000001</v>
      </c>
      <c r="E15" s="271"/>
      <c r="F15" s="356">
        <v>7.6277590000000002</v>
      </c>
      <c r="G15" s="356">
        <v>9.5500000000000007</v>
      </c>
      <c r="H15" s="356">
        <v>12.41</v>
      </c>
      <c r="I15" s="356">
        <v>9.7370000000000001</v>
      </c>
      <c r="J15" s="356">
        <v>10.236000000000001</v>
      </c>
      <c r="K15" s="356">
        <v>12.282999999999999</v>
      </c>
      <c r="L15" s="356">
        <v>12.678000000000001</v>
      </c>
      <c r="M15" s="356">
        <v>15.743</v>
      </c>
      <c r="N15" s="356">
        <v>17.684000000000001</v>
      </c>
      <c r="O15" s="356">
        <v>5.2110000000000003</v>
      </c>
      <c r="P15" s="314"/>
      <c r="Q15" s="364" t="s">
        <v>102</v>
      </c>
      <c r="R15" s="276">
        <f t="shared" ref="R15:AF15" si="10">SUM(R16:R25)</f>
        <v>0</v>
      </c>
      <c r="S15" s="276">
        <f t="shared" si="10"/>
        <v>0</v>
      </c>
      <c r="T15" s="276">
        <f t="shared" si="10"/>
        <v>1304.1698199999998</v>
      </c>
      <c r="U15" s="276">
        <f t="shared" si="10"/>
        <v>0</v>
      </c>
      <c r="V15" s="438">
        <f t="shared" si="10"/>
        <v>340.18</v>
      </c>
      <c r="W15" s="438">
        <f t="shared" si="10"/>
        <v>473.01900000000001</v>
      </c>
      <c r="X15" s="438">
        <f t="shared" si="10"/>
        <v>471.73599999999999</v>
      </c>
      <c r="Y15" s="347">
        <f t="shared" si="10"/>
        <v>417.82100000000003</v>
      </c>
      <c r="Z15" s="347">
        <f t="shared" si="10"/>
        <v>415.79500000000002</v>
      </c>
      <c r="AA15" s="438">
        <f t="shared" si="10"/>
        <v>329.96</v>
      </c>
      <c r="AB15" s="438">
        <f t="shared" si="10"/>
        <v>447.21799999999996</v>
      </c>
      <c r="AC15" s="438">
        <f t="shared" si="10"/>
        <v>450.88599999999997</v>
      </c>
      <c r="AD15" s="438">
        <f t="shared" si="10"/>
        <v>364.71299999999997</v>
      </c>
      <c r="AE15" s="438">
        <f t="shared" si="10"/>
        <v>504.12800000000004</v>
      </c>
      <c r="AF15" s="438">
        <f t="shared" si="10"/>
        <v>619.33899999999994</v>
      </c>
    </row>
    <row r="16" spans="1:39" ht="15" customHeight="1" x14ac:dyDescent="0.3">
      <c r="A16" s="363" t="s">
        <v>8</v>
      </c>
      <c r="B16" s="271"/>
      <c r="C16" s="271">
        <v>126.03988699999999</v>
      </c>
      <c r="D16" s="271">
        <v>132.27441400000001</v>
      </c>
      <c r="E16" s="271"/>
      <c r="F16" s="356">
        <v>10.279343000000001</v>
      </c>
      <c r="G16" s="356">
        <v>11.44</v>
      </c>
      <c r="H16" s="356">
        <v>16.010000000000002</v>
      </c>
      <c r="I16" s="356">
        <v>5.6660000000000004</v>
      </c>
      <c r="J16" s="356">
        <v>7.3129999999999997</v>
      </c>
      <c r="K16" s="356">
        <v>17.59</v>
      </c>
      <c r="L16" s="356">
        <v>14.68</v>
      </c>
      <c r="M16" s="356">
        <v>30.751000000000001</v>
      </c>
      <c r="N16" s="356">
        <v>28.925000000000001</v>
      </c>
      <c r="O16" s="356">
        <v>7.4880000000000004</v>
      </c>
      <c r="P16" s="314"/>
      <c r="Q16" s="363" t="s">
        <v>96</v>
      </c>
      <c r="R16" s="271"/>
      <c r="S16" s="271"/>
      <c r="T16" s="271">
        <v>1059.722117</v>
      </c>
      <c r="U16" s="271"/>
      <c r="V16" s="440">
        <v>64.180000000000007</v>
      </c>
      <c r="W16" s="440">
        <v>113.25</v>
      </c>
      <c r="X16" s="440">
        <v>105.51</v>
      </c>
      <c r="Y16" s="349">
        <v>103.321</v>
      </c>
      <c r="Z16" s="349">
        <v>101.28</v>
      </c>
      <c r="AA16" s="451">
        <v>99.76</v>
      </c>
      <c r="AB16" s="451">
        <v>98.123000000000005</v>
      </c>
      <c r="AC16" s="453">
        <v>95.944999999999993</v>
      </c>
      <c r="AD16" s="453">
        <v>90.304000000000002</v>
      </c>
      <c r="AE16" s="453">
        <v>171.68899999999999</v>
      </c>
      <c r="AF16" s="453">
        <v>163.98</v>
      </c>
    </row>
    <row r="17" spans="1:32" ht="15" customHeight="1" x14ac:dyDescent="0.3">
      <c r="A17" s="363" t="s">
        <v>9</v>
      </c>
      <c r="B17" s="271"/>
      <c r="C17" s="271"/>
      <c r="D17" s="271"/>
      <c r="E17" s="271"/>
      <c r="F17" s="339"/>
      <c r="G17" s="339"/>
      <c r="H17" s="339"/>
      <c r="I17" s="341"/>
      <c r="J17" s="341"/>
      <c r="K17" s="341">
        <v>8.6010000000000009</v>
      </c>
      <c r="L17" s="341"/>
      <c r="M17" s="341"/>
      <c r="N17" s="341">
        <v>3.3740000000000001</v>
      </c>
      <c r="O17" s="341"/>
      <c r="P17" s="314"/>
      <c r="Q17" s="363" t="s">
        <v>172</v>
      </c>
      <c r="R17" s="271"/>
      <c r="S17" s="271"/>
      <c r="T17" s="271"/>
      <c r="U17" s="271"/>
      <c r="V17" s="440">
        <v>2.012</v>
      </c>
      <c r="W17" s="440">
        <v>2.012</v>
      </c>
      <c r="X17" s="440">
        <v>2.012</v>
      </c>
      <c r="Y17" s="349">
        <v>2.012</v>
      </c>
      <c r="Z17" s="349">
        <v>2.012</v>
      </c>
      <c r="AA17" s="451">
        <v>2.0099999999999998</v>
      </c>
      <c r="AB17" s="451">
        <v>2.012</v>
      </c>
      <c r="AC17" s="453">
        <v>2.012</v>
      </c>
      <c r="AD17" s="453">
        <v>2.5339999999999998</v>
      </c>
      <c r="AE17" s="453">
        <v>2.5339999999999998</v>
      </c>
      <c r="AF17" s="453">
        <v>2.5339999999999998</v>
      </c>
    </row>
    <row r="18" spans="1:32" ht="15" customHeight="1" x14ac:dyDescent="0.3">
      <c r="A18" s="363" t="s">
        <v>165</v>
      </c>
      <c r="B18" s="271"/>
      <c r="C18" s="271"/>
      <c r="D18" s="271"/>
      <c r="E18" s="271"/>
      <c r="F18" s="339"/>
      <c r="G18" s="339"/>
      <c r="H18" s="339"/>
      <c r="I18" s="341"/>
      <c r="J18" s="341"/>
      <c r="K18" s="341"/>
      <c r="L18" s="341"/>
      <c r="M18" s="341"/>
      <c r="N18" s="341"/>
      <c r="O18" s="341"/>
      <c r="P18" s="314"/>
      <c r="Q18" s="363" t="s">
        <v>173</v>
      </c>
      <c r="R18" s="271"/>
      <c r="S18" s="271"/>
      <c r="T18" s="271"/>
      <c r="U18" s="271"/>
      <c r="V18" s="440">
        <v>10.287000000000001</v>
      </c>
      <c r="W18" s="440">
        <v>8.1620000000000008</v>
      </c>
      <c r="X18" s="440">
        <v>6.0309999999999997</v>
      </c>
      <c r="Y18" s="349">
        <v>5.5019999999999998</v>
      </c>
      <c r="Z18" s="349">
        <v>0</v>
      </c>
      <c r="AA18" s="451">
        <v>0</v>
      </c>
      <c r="AB18" s="451">
        <v>0</v>
      </c>
      <c r="AC18" s="453">
        <v>0</v>
      </c>
      <c r="AD18" s="453">
        <v>0</v>
      </c>
      <c r="AE18" s="453">
        <v>0</v>
      </c>
      <c r="AF18" s="453">
        <v>0</v>
      </c>
    </row>
    <row r="19" spans="1:32" ht="15" customHeight="1" x14ac:dyDescent="0.3">
      <c r="A19" s="364" t="s">
        <v>10</v>
      </c>
      <c r="B19" s="276">
        <f>(B10-B15-B16-B17)</f>
        <v>0</v>
      </c>
      <c r="C19" s="276">
        <f>(C10+C14-C15-C16-C17)</f>
        <v>1597.4961780000003</v>
      </c>
      <c r="D19" s="276">
        <f>(D10+D14-D15-D16-D17)</f>
        <v>1653.6389110000002</v>
      </c>
      <c r="E19" s="276"/>
      <c r="F19" s="338">
        <f>(F10+F14-F15-F16+F17+F18)</f>
        <v>95.419016999999911</v>
      </c>
      <c r="G19" s="338">
        <f>(G10+G14-G15-G16+G17+G18)</f>
        <v>101.27000000000011</v>
      </c>
      <c r="H19" s="338">
        <f>(H10+H14-H15-H16+H17+H18)</f>
        <v>69.589999999999975</v>
      </c>
      <c r="I19" s="338">
        <f>(I10+I14-I15-I16+I17+I18)</f>
        <v>103.07899999999997</v>
      </c>
      <c r="J19" s="338">
        <f>(J10+J14-J15-J16+J17+J18)</f>
        <v>121.50599999999984</v>
      </c>
      <c r="K19" s="338">
        <f>(K10+K14-K15-K16-K17)</f>
        <v>156.767</v>
      </c>
      <c r="L19" s="338">
        <f>(L10+L14-L15-L16-L17)</f>
        <v>121.07100000000008</v>
      </c>
      <c r="M19" s="338">
        <f>(M10+M14-M15-M16-M17)</f>
        <v>112.1940000000001</v>
      </c>
      <c r="N19" s="338">
        <f>(N10+N14-N15-N16-N17)</f>
        <v>199.34599999999978</v>
      </c>
      <c r="O19" s="338">
        <f>(O10+O14-O15-O16-O17)</f>
        <v>62.35599999999981</v>
      </c>
      <c r="P19" s="314"/>
      <c r="Q19" s="363" t="s">
        <v>174</v>
      </c>
      <c r="R19" s="271"/>
      <c r="S19" s="271"/>
      <c r="T19" s="271">
        <v>46.100937000000002</v>
      </c>
      <c r="U19" s="271"/>
      <c r="V19" s="440">
        <v>0.48399999999999999</v>
      </c>
      <c r="W19" s="440">
        <v>0.48</v>
      </c>
      <c r="X19" s="440">
        <v>0.38500000000000001</v>
      </c>
      <c r="Y19" s="349">
        <v>0.35899999999999999</v>
      </c>
      <c r="Z19" s="349">
        <v>0.33400000000000002</v>
      </c>
      <c r="AA19" s="451">
        <v>0.32</v>
      </c>
      <c r="AB19" s="451">
        <v>1.24</v>
      </c>
      <c r="AC19" s="453">
        <v>3.077</v>
      </c>
      <c r="AD19" s="453">
        <v>3.7160000000000002</v>
      </c>
      <c r="AE19" s="453">
        <v>2.7869999999999999</v>
      </c>
      <c r="AF19" s="453">
        <v>2.09</v>
      </c>
    </row>
    <row r="20" spans="1:32" ht="15" customHeight="1" x14ac:dyDescent="0.3">
      <c r="A20" s="363" t="s">
        <v>11</v>
      </c>
      <c r="B20" s="271"/>
      <c r="C20" s="271">
        <f>84.840864+12.218329-5.206064</f>
        <v>91.853128999999996</v>
      </c>
      <c r="D20" s="271">
        <f>88.004592+5.040204</f>
        <v>93.044796000000005</v>
      </c>
      <c r="E20" s="271"/>
      <c r="F20" s="356">
        <v>17.677374</v>
      </c>
      <c r="G20" s="356">
        <v>14.94</v>
      </c>
      <c r="H20" s="356">
        <v>-2.2400000000000002</v>
      </c>
      <c r="I20" s="356">
        <v>-1.5229999999999999</v>
      </c>
      <c r="J20" s="356">
        <v>0.83199999999999996</v>
      </c>
      <c r="K20" s="356">
        <v>11.651999999999999</v>
      </c>
      <c r="L20" s="356">
        <v>7.6349999999999998</v>
      </c>
      <c r="M20" s="356">
        <v>11.747999999999999</v>
      </c>
      <c r="N20" s="356">
        <v>23.140999999999998</v>
      </c>
      <c r="O20" s="356">
        <v>2.468</v>
      </c>
      <c r="P20" s="314"/>
      <c r="Q20" s="363" t="s">
        <v>175</v>
      </c>
      <c r="R20" s="271"/>
      <c r="S20" s="271"/>
      <c r="T20" s="279">
        <v>0</v>
      </c>
      <c r="U20" s="279"/>
      <c r="V20" s="440"/>
      <c r="W20" s="440">
        <v>0.82499999999999996</v>
      </c>
      <c r="X20" s="440">
        <v>1.1499999999999999</v>
      </c>
      <c r="Y20" s="349">
        <v>1.1499999999999999</v>
      </c>
      <c r="Z20" s="349">
        <v>0.96</v>
      </c>
      <c r="AA20" s="451">
        <v>1.71</v>
      </c>
      <c r="AB20" s="451">
        <v>0</v>
      </c>
      <c r="AC20" s="453">
        <v>0</v>
      </c>
      <c r="AD20" s="453">
        <v>0</v>
      </c>
      <c r="AE20" s="453">
        <v>0</v>
      </c>
      <c r="AF20" s="453">
        <v>1.5389999999999999</v>
      </c>
    </row>
    <row r="21" spans="1:32" ht="15" customHeight="1" x14ac:dyDescent="0.3">
      <c r="A21" s="361" t="s">
        <v>12</v>
      </c>
      <c r="B21" s="272" t="e">
        <f>(B20/B19)</f>
        <v>#DIV/0!</v>
      </c>
      <c r="C21" s="272">
        <f>(C20/C19)</f>
        <v>5.7498183886108792E-2</v>
      </c>
      <c r="D21" s="272">
        <f>(D20/D19)</f>
        <v>5.6266694851618664E-2</v>
      </c>
      <c r="E21" s="272"/>
      <c r="F21" s="335">
        <f t="shared" ref="F21:K21" si="11">(F20/F19)</f>
        <v>0.18526049162715663</v>
      </c>
      <c r="G21" s="335">
        <f t="shared" si="11"/>
        <v>0.14752641453540025</v>
      </c>
      <c r="H21" s="335">
        <f t="shared" si="11"/>
        <v>-3.2188532835177482E-2</v>
      </c>
      <c r="I21" s="335">
        <f t="shared" si="11"/>
        <v>-1.4775075427584673E-2</v>
      </c>
      <c r="J21" s="335">
        <f t="shared" si="11"/>
        <v>6.8473984823794794E-3</v>
      </c>
      <c r="K21" s="335">
        <f t="shared" si="11"/>
        <v>7.4326867261604798E-2</v>
      </c>
      <c r="L21" s="335">
        <f>(L20/L19)</f>
        <v>6.306217013157564E-2</v>
      </c>
      <c r="M21" s="335">
        <f>(M20/M19)</f>
        <v>0.10471148189742757</v>
      </c>
      <c r="N21" s="335">
        <f>(N20/N19)</f>
        <v>0.11608459663098343</v>
      </c>
      <c r="O21" s="335">
        <f>(O20/O19)</f>
        <v>3.9579190454807997E-2</v>
      </c>
      <c r="P21" s="314"/>
      <c r="Q21" s="363" t="s">
        <v>92</v>
      </c>
      <c r="R21" s="271"/>
      <c r="S21" s="271"/>
      <c r="T21" s="279">
        <v>0</v>
      </c>
      <c r="U21" s="279"/>
      <c r="V21" s="442"/>
      <c r="W21" s="442"/>
      <c r="X21" s="442"/>
      <c r="Y21" s="351"/>
      <c r="Z21" s="351"/>
      <c r="AA21" s="451"/>
      <c r="AB21" s="451"/>
      <c r="AC21" s="453"/>
      <c r="AD21" s="453"/>
      <c r="AE21" s="453"/>
      <c r="AF21" s="453"/>
    </row>
    <row r="22" spans="1:32" ht="15" customHeight="1" x14ac:dyDescent="0.3">
      <c r="A22" s="365" t="s">
        <v>13</v>
      </c>
      <c r="B22" s="276">
        <v>0</v>
      </c>
      <c r="C22" s="276">
        <f>(C19-C20)</f>
        <v>1505.6430490000002</v>
      </c>
      <c r="D22" s="276">
        <f>(D19-D20)</f>
        <v>1560.5941150000003</v>
      </c>
      <c r="E22" s="276"/>
      <c r="F22" s="338">
        <f t="shared" ref="F22:K22" si="12">(F19-F20)</f>
        <v>77.741642999999911</v>
      </c>
      <c r="G22" s="338">
        <f t="shared" si="12"/>
        <v>86.330000000000112</v>
      </c>
      <c r="H22" s="338">
        <f t="shared" si="12"/>
        <v>71.82999999999997</v>
      </c>
      <c r="I22" s="338">
        <f t="shared" si="12"/>
        <v>104.60199999999996</v>
      </c>
      <c r="J22" s="338">
        <f t="shared" si="12"/>
        <v>120.67399999999985</v>
      </c>
      <c r="K22" s="338">
        <f t="shared" si="12"/>
        <v>145.11500000000001</v>
      </c>
      <c r="L22" s="338">
        <f>(L19-L20)</f>
        <v>113.43600000000008</v>
      </c>
      <c r="M22" s="338">
        <f>(M19-M20)</f>
        <v>100.4460000000001</v>
      </c>
      <c r="N22" s="338">
        <f>(N19-N20)</f>
        <v>176.20499999999979</v>
      </c>
      <c r="O22" s="338">
        <f>(O19-O20)</f>
        <v>59.887999999999806</v>
      </c>
      <c r="P22" s="314"/>
      <c r="Q22" s="363" t="s">
        <v>176</v>
      </c>
      <c r="R22" s="271"/>
      <c r="S22" s="271"/>
      <c r="T22" s="271"/>
      <c r="U22" s="271"/>
      <c r="V22" s="440">
        <v>8.4459999999999997</v>
      </c>
      <c r="W22" s="440">
        <v>18.495999999999999</v>
      </c>
      <c r="X22" s="440">
        <v>23.126000000000001</v>
      </c>
      <c r="Y22" s="349">
        <v>21.274999999999999</v>
      </c>
      <c r="Z22" s="349">
        <v>21.122</v>
      </c>
      <c r="AA22" s="451">
        <v>18.329999999999998</v>
      </c>
      <c r="AB22" s="451">
        <v>24.263999999999999</v>
      </c>
      <c r="AC22" s="453">
        <v>22.658000000000001</v>
      </c>
      <c r="AD22" s="453">
        <v>23.555</v>
      </c>
      <c r="AE22" s="453">
        <v>27.376999999999999</v>
      </c>
      <c r="AF22" s="453">
        <v>26.119</v>
      </c>
    </row>
    <row r="23" spans="1:32" ht="15" customHeight="1" x14ac:dyDescent="0.3">
      <c r="A23" s="365" t="s">
        <v>80</v>
      </c>
      <c r="B23" s="280" t="e">
        <f>B22/(B4)</f>
        <v>#DIV/0!</v>
      </c>
      <c r="C23" s="280">
        <f>C22/(C4)</f>
        <v>0.51547157686514589</v>
      </c>
      <c r="D23" s="280">
        <f>D22/(D4)</f>
        <v>0.52613367111417719</v>
      </c>
      <c r="E23" s="280"/>
      <c r="F23" s="342">
        <f t="shared" ref="F23:O23" si="13">F22/(F4)</f>
        <v>4.4811995918931959E-2</v>
      </c>
      <c r="G23" s="342">
        <f t="shared" si="13"/>
        <v>4.1900037857094376E-2</v>
      </c>
      <c r="H23" s="342">
        <f t="shared" si="13"/>
        <v>3.2941985783077263E-2</v>
      </c>
      <c r="I23" s="342">
        <f t="shared" si="13"/>
        <v>5.1838188651717444E-2</v>
      </c>
      <c r="J23" s="342">
        <f t="shared" si="13"/>
        <v>4.1821248593383833E-2</v>
      </c>
      <c r="K23" s="342">
        <f t="shared" si="13"/>
        <v>3.3243463844540216E-2</v>
      </c>
      <c r="L23" s="342">
        <f t="shared" si="13"/>
        <v>2.7929816475134862E-2</v>
      </c>
      <c r="M23" s="342">
        <f t="shared" si="13"/>
        <v>1.9680283078201154E-2</v>
      </c>
      <c r="N23" s="342">
        <f t="shared" si="13"/>
        <v>2.7114643677219913E-2</v>
      </c>
      <c r="O23" s="342">
        <f t="shared" si="13"/>
        <v>3.4681170431591905E-2</v>
      </c>
      <c r="P23" s="314"/>
      <c r="Q23" s="363" t="s">
        <v>177</v>
      </c>
      <c r="R23" s="271"/>
      <c r="S23" s="271"/>
      <c r="T23" s="271">
        <v>2E-3</v>
      </c>
      <c r="U23" s="271"/>
      <c r="V23" s="440">
        <v>119.532</v>
      </c>
      <c r="W23" s="440">
        <v>106.43899999999999</v>
      </c>
      <c r="X23" s="440">
        <v>91.343000000000004</v>
      </c>
      <c r="Y23" s="349">
        <v>97.703999999999994</v>
      </c>
      <c r="Z23" s="349">
        <v>97.317999999999998</v>
      </c>
      <c r="AA23" s="451">
        <v>132.49</v>
      </c>
      <c r="AB23" s="451">
        <v>182.75399999999999</v>
      </c>
      <c r="AC23" s="453">
        <v>144.88999999999999</v>
      </c>
      <c r="AD23" s="453">
        <v>154.74600000000001</v>
      </c>
      <c r="AE23" s="453">
        <v>202.69200000000001</v>
      </c>
      <c r="AF23" s="453">
        <v>227.066</v>
      </c>
    </row>
    <row r="24" spans="1:32" ht="15" customHeight="1" x14ac:dyDescent="0.3">
      <c r="A24" s="362" t="s">
        <v>113</v>
      </c>
      <c r="B24" s="332"/>
      <c r="C24" s="275"/>
      <c r="D24" s="275"/>
      <c r="E24" s="275"/>
      <c r="F24" s="379"/>
      <c r="G24" s="379"/>
      <c r="H24" s="335">
        <f>+((H22/F22)^(1/2)-1)</f>
        <v>-3.877274643391182E-2</v>
      </c>
      <c r="I24" s="335">
        <f>+((I22/F22)^(1/3)-1)</f>
        <v>0.10398225098394298</v>
      </c>
      <c r="J24" s="335">
        <f>+((J22/G22)^(1/3)-1)</f>
        <v>0.11810860345134278</v>
      </c>
      <c r="K24" s="335">
        <f>+((K22/H22)^(1/3)-1)</f>
        <v>0.26416029727355217</v>
      </c>
      <c r="L24" s="335">
        <f>+((L22/I22)^(1/3)-1)</f>
        <v>2.7393874033173171E-2</v>
      </c>
      <c r="M24" s="335">
        <f>+((M22/J22)^(1/3)-1)</f>
        <v>-5.9324904739600504E-2</v>
      </c>
      <c r="N24" s="335"/>
      <c r="O24" s="335"/>
      <c r="P24" s="314"/>
      <c r="Q24" s="363" t="s">
        <v>178</v>
      </c>
      <c r="R24" s="271"/>
      <c r="S24" s="271"/>
      <c r="T24" s="279">
        <v>0</v>
      </c>
      <c r="U24" s="271"/>
      <c r="V24" s="440">
        <v>1.427</v>
      </c>
      <c r="W24" s="440">
        <v>1.627</v>
      </c>
      <c r="X24" s="440">
        <v>1.6180000000000001</v>
      </c>
      <c r="Y24" s="349">
        <v>1.639</v>
      </c>
      <c r="Z24" s="349">
        <v>1.639</v>
      </c>
      <c r="AA24" s="451">
        <v>1.7</v>
      </c>
      <c r="AB24" s="451">
        <v>1.698</v>
      </c>
      <c r="AC24" s="453">
        <v>1.8560000000000001</v>
      </c>
      <c r="AD24" s="453">
        <v>1.0609999999999999</v>
      </c>
      <c r="AE24" s="453">
        <v>1.2969999999999999</v>
      </c>
      <c r="AF24" s="453">
        <v>0.61099999999999999</v>
      </c>
    </row>
    <row r="25" spans="1:32" ht="15" customHeight="1" x14ac:dyDescent="0.3">
      <c r="A25" s="363" t="s">
        <v>14</v>
      </c>
      <c r="B25" s="271"/>
      <c r="C25" s="271"/>
      <c r="D25" s="271"/>
      <c r="E25" s="271"/>
      <c r="F25" s="339"/>
      <c r="G25" s="339"/>
      <c r="H25" s="339"/>
      <c r="I25" s="341"/>
      <c r="J25" s="341"/>
      <c r="K25" s="341"/>
      <c r="L25" s="341"/>
      <c r="M25" s="341"/>
      <c r="N25" s="341"/>
      <c r="O25" s="341"/>
      <c r="P25" s="314"/>
      <c r="Q25" s="363" t="s">
        <v>93</v>
      </c>
      <c r="R25" s="271"/>
      <c r="S25" s="271"/>
      <c r="T25" s="271">
        <v>198.34476599999999</v>
      </c>
      <c r="U25" s="271"/>
      <c r="V25" s="440">
        <v>133.81200000000001</v>
      </c>
      <c r="W25" s="440">
        <v>221.72800000000001</v>
      </c>
      <c r="X25" s="440">
        <v>240.56100000000001</v>
      </c>
      <c r="Y25" s="349">
        <v>184.85900000000001</v>
      </c>
      <c r="Z25" s="349">
        <v>191.13</v>
      </c>
      <c r="AA25" s="451">
        <v>73.64</v>
      </c>
      <c r="AB25" s="451">
        <v>137.12700000000001</v>
      </c>
      <c r="AC25" s="453">
        <v>180.44800000000001</v>
      </c>
      <c r="AD25" s="453">
        <v>88.796999999999997</v>
      </c>
      <c r="AE25" s="453">
        <v>95.751999999999995</v>
      </c>
      <c r="AF25" s="453">
        <v>195.4</v>
      </c>
    </row>
    <row r="26" spans="1:32" ht="15" customHeight="1" x14ac:dyDescent="0.3">
      <c r="A26" s="363" t="s">
        <v>69</v>
      </c>
      <c r="B26" s="271"/>
      <c r="C26" s="271">
        <v>0</v>
      </c>
      <c r="D26" s="271">
        <v>0</v>
      </c>
      <c r="E26" s="271"/>
      <c r="F26" s="339"/>
      <c r="G26" s="356">
        <v>2.93</v>
      </c>
      <c r="H26" s="356">
        <v>7.49</v>
      </c>
      <c r="I26" s="356">
        <v>-2.3450000000000002</v>
      </c>
      <c r="J26" s="356">
        <v>5.07</v>
      </c>
      <c r="K26" s="356">
        <v>10.76</v>
      </c>
      <c r="L26" s="356">
        <v>-0.29499999999999998</v>
      </c>
      <c r="M26" s="356">
        <v>4.5960000000000001</v>
      </c>
      <c r="N26" s="356">
        <v>15.144</v>
      </c>
      <c r="O26" s="356">
        <v>2.3210000000000002</v>
      </c>
      <c r="P26" s="314"/>
      <c r="Q26" s="363"/>
      <c r="R26" s="271"/>
      <c r="S26" s="271"/>
      <c r="T26" s="271"/>
      <c r="U26" s="271"/>
      <c r="V26" s="439"/>
      <c r="W26" s="439"/>
      <c r="X26" s="439"/>
      <c r="Y26" s="348"/>
      <c r="Z26" s="348"/>
      <c r="AA26" s="451"/>
      <c r="AB26" s="451"/>
      <c r="AC26" s="453"/>
      <c r="AD26" s="453"/>
      <c r="AE26" s="453"/>
      <c r="AF26" s="453"/>
    </row>
    <row r="27" spans="1:32" ht="15" customHeight="1" x14ac:dyDescent="0.3">
      <c r="A27" s="364" t="s">
        <v>15</v>
      </c>
      <c r="B27" s="276">
        <f>(B22-B25+B26)</f>
        <v>0</v>
      </c>
      <c r="C27" s="276">
        <f>(C22-C25+C26)</f>
        <v>1505.6430490000002</v>
      </c>
      <c r="D27" s="276">
        <f>(D22-D25+D26)</f>
        <v>1560.5941150000003</v>
      </c>
      <c r="E27" s="276"/>
      <c r="F27" s="338">
        <f>(F22-F25+F26)</f>
        <v>77.741642999999911</v>
      </c>
      <c r="G27" s="338">
        <f>(G22-G25+G26)</f>
        <v>89.260000000000119</v>
      </c>
      <c r="H27" s="338">
        <f>(H22-H25+H26)</f>
        <v>79.319999999999965</v>
      </c>
      <c r="I27" s="338">
        <f>(I22-I25+I26)</f>
        <v>102.25699999999996</v>
      </c>
      <c r="J27" s="338">
        <f>(J22-J25+J26)</f>
        <v>125.74399999999986</v>
      </c>
      <c r="K27" s="338">
        <f>K22+K26</f>
        <v>155.875</v>
      </c>
      <c r="L27" s="338">
        <f>L22+L26</f>
        <v>113.14100000000008</v>
      </c>
      <c r="M27" s="338">
        <f>M22+M26</f>
        <v>105.0420000000001</v>
      </c>
      <c r="N27" s="338">
        <f>N22+N26</f>
        <v>191.34899999999979</v>
      </c>
      <c r="O27" s="338">
        <f>O22+O26</f>
        <v>62.208999999999804</v>
      </c>
      <c r="P27" s="314"/>
      <c r="Q27" s="364" t="s">
        <v>44</v>
      </c>
      <c r="R27" s="276">
        <f t="shared" ref="R27:AC27" si="14">SUM(R28:R36)</f>
        <v>0</v>
      </c>
      <c r="S27" s="276">
        <f t="shared" si="14"/>
        <v>0</v>
      </c>
      <c r="T27" s="276">
        <f t="shared" si="14"/>
        <v>2304.2947150000005</v>
      </c>
      <c r="U27" s="276">
        <f t="shared" si="14"/>
        <v>0</v>
      </c>
      <c r="V27" s="438">
        <f t="shared" si="14"/>
        <v>519.22900000000004</v>
      </c>
      <c r="W27" s="438">
        <f>SUM(W28:W36)</f>
        <v>590.48800000000017</v>
      </c>
      <c r="X27" s="438">
        <f t="shared" si="14"/>
        <v>708.36800000000005</v>
      </c>
      <c r="Y27" s="347">
        <f t="shared" si="14"/>
        <v>637.73899999999992</v>
      </c>
      <c r="Z27" s="347">
        <f t="shared" si="14"/>
        <v>631.18899999999996</v>
      </c>
      <c r="AA27" s="438">
        <f t="shared" si="14"/>
        <v>871.94999999999993</v>
      </c>
      <c r="AB27" s="438">
        <f t="shared" si="14"/>
        <v>1042.5389999999998</v>
      </c>
      <c r="AC27" s="438">
        <f t="shared" si="14"/>
        <v>1133.578</v>
      </c>
      <c r="AD27" s="438">
        <f>SUM(AD28:AD36)</f>
        <v>1345.4970000000001</v>
      </c>
      <c r="AE27" s="438">
        <f>SUM(AE28:AE36)</f>
        <v>1626.1659999999997</v>
      </c>
      <c r="AF27" s="438">
        <f>SUM(AF28:AF36)</f>
        <v>1750.1440000000002</v>
      </c>
    </row>
    <row r="28" spans="1:32" ht="15" customHeight="1" x14ac:dyDescent="0.3">
      <c r="A28" s="361" t="s">
        <v>2</v>
      </c>
      <c r="B28" s="272"/>
      <c r="C28" s="272" t="e">
        <f>(C27/B27-1)</f>
        <v>#DIV/0!</v>
      </c>
      <c r="D28" s="272">
        <f>-(D27/C27-1)</f>
        <v>-3.6496742064127785E-2</v>
      </c>
      <c r="E28" s="272"/>
      <c r="F28" s="335"/>
      <c r="G28" s="343">
        <f t="shared" ref="G28:K28" si="15">(G27/F27-1)</f>
        <v>0.14816199601030067</v>
      </c>
      <c r="H28" s="343">
        <f t="shared" si="15"/>
        <v>-0.11136007170065132</v>
      </c>
      <c r="I28" s="343">
        <f t="shared" si="15"/>
        <v>0.28917044881492693</v>
      </c>
      <c r="J28" s="343">
        <f t="shared" si="15"/>
        <v>0.22968598726737444</v>
      </c>
      <c r="K28" s="343">
        <f t="shared" si="15"/>
        <v>0.23962177121771355</v>
      </c>
      <c r="L28" s="343">
        <f>(L27/K27-1)</f>
        <v>-0.27415557337610219</v>
      </c>
      <c r="M28" s="343">
        <f>(M27/L27-1)</f>
        <v>-7.1583245684587959E-2</v>
      </c>
      <c r="N28" s="343">
        <f>(N27/M27-1)</f>
        <v>0.82164277146283959</v>
      </c>
      <c r="O28" s="343"/>
      <c r="P28" s="314"/>
      <c r="Q28" s="363" t="s">
        <v>45</v>
      </c>
      <c r="R28" s="271"/>
      <c r="S28" s="271"/>
      <c r="T28" s="271">
        <v>971.14988800000003</v>
      </c>
      <c r="U28" s="271"/>
      <c r="V28" s="439"/>
      <c r="W28" s="439"/>
      <c r="X28" s="439"/>
      <c r="Y28" s="348"/>
      <c r="Z28" s="348"/>
      <c r="AA28" s="451"/>
      <c r="AB28" s="451"/>
      <c r="AC28" s="451"/>
      <c r="AD28" s="451"/>
      <c r="AE28" s="451"/>
      <c r="AF28" s="451"/>
    </row>
    <row r="29" spans="1:32" ht="15" customHeight="1" x14ac:dyDescent="0.3">
      <c r="A29" s="362" t="s">
        <v>113</v>
      </c>
      <c r="B29" s="332"/>
      <c r="C29" s="275"/>
      <c r="D29" s="275"/>
      <c r="E29" s="275"/>
      <c r="F29" s="379"/>
      <c r="G29" s="379"/>
      <c r="H29" s="335">
        <f>+((H27/F27)^(1/2)-1)</f>
        <v>1.0100288986509831E-2</v>
      </c>
      <c r="I29" s="335">
        <f t="shared" ref="I29:M29" si="16">+((I27/F27)^(1/3)-1)</f>
        <v>9.5670017382479156E-2</v>
      </c>
      <c r="J29" s="335">
        <f t="shared" si="16"/>
        <v>0.12101165945183157</v>
      </c>
      <c r="K29" s="335">
        <f t="shared" si="16"/>
        <v>0.25255821689243185</v>
      </c>
      <c r="L29" s="335">
        <f t="shared" si="16"/>
        <v>3.4289990796619207E-2</v>
      </c>
      <c r="M29" s="335">
        <f t="shared" si="16"/>
        <v>-5.8200251280656978E-2</v>
      </c>
      <c r="N29" s="335">
        <f>+((N27/K27)^(1/3)-1)</f>
        <v>7.0738068089695627E-2</v>
      </c>
      <c r="O29" s="335"/>
      <c r="P29" s="314"/>
      <c r="Q29" s="363" t="s">
        <v>92</v>
      </c>
      <c r="R29" s="271"/>
      <c r="S29" s="271"/>
      <c r="T29" s="271"/>
      <c r="U29" s="271"/>
      <c r="V29" s="442"/>
      <c r="W29" s="442"/>
      <c r="X29" s="442"/>
      <c r="Y29" s="351"/>
      <c r="Z29" s="351"/>
      <c r="AA29" s="451"/>
      <c r="AB29" s="451"/>
      <c r="AC29" s="451"/>
      <c r="AD29" s="451"/>
      <c r="AE29" s="451"/>
      <c r="AF29" s="451"/>
    </row>
    <row r="30" spans="1:32" ht="15" customHeight="1" x14ac:dyDescent="0.3">
      <c r="A30" s="360" t="s">
        <v>16</v>
      </c>
      <c r="B30" s="270">
        <v>5.75</v>
      </c>
      <c r="C30" s="270">
        <v>14.92</v>
      </c>
      <c r="D30" s="270">
        <v>14.3</v>
      </c>
      <c r="E30" s="270"/>
      <c r="F30" s="380">
        <v>6.04</v>
      </c>
      <c r="G30" s="344">
        <v>5.84</v>
      </c>
      <c r="H30" s="344">
        <v>4.8600000000000003</v>
      </c>
      <c r="I30" s="344">
        <v>7.08</v>
      </c>
      <c r="J30" s="344">
        <v>8.16</v>
      </c>
      <c r="K30" s="344">
        <v>9.7899999999999991</v>
      </c>
      <c r="L30" s="344">
        <v>7.6</v>
      </c>
      <c r="M30" s="344">
        <v>6.73</v>
      </c>
      <c r="N30" s="344">
        <v>11.79</v>
      </c>
      <c r="O30" s="344">
        <v>4.01</v>
      </c>
      <c r="P30" s="314"/>
      <c r="Q30" s="363" t="s">
        <v>166</v>
      </c>
      <c r="R30" s="271"/>
      <c r="S30" s="271"/>
      <c r="T30" s="271"/>
      <c r="U30" s="271"/>
      <c r="V30" s="442"/>
      <c r="W30" s="442"/>
      <c r="X30" s="437">
        <v>3.1629999999999998</v>
      </c>
      <c r="Y30" s="346">
        <v>3.3</v>
      </c>
      <c r="Z30" s="346">
        <v>3.3410000000000002</v>
      </c>
      <c r="AA30" s="451">
        <v>3.43</v>
      </c>
      <c r="AB30" s="451">
        <v>3.5739999999999998</v>
      </c>
      <c r="AC30" s="453">
        <v>3.7160000000000002</v>
      </c>
      <c r="AD30" s="453">
        <v>3.9740000000000002</v>
      </c>
      <c r="AE30" s="453">
        <v>55.232999999999997</v>
      </c>
      <c r="AF30" s="453">
        <v>49.39</v>
      </c>
    </row>
    <row r="31" spans="1:32" ht="15" customHeight="1" x14ac:dyDescent="0.3">
      <c r="A31" s="366" t="s">
        <v>2</v>
      </c>
      <c r="B31" s="281"/>
      <c r="C31" s="281">
        <f>(C30/B30-1)</f>
        <v>1.594782608695652</v>
      </c>
      <c r="D31" s="281">
        <f>-(D30/C30-1)</f>
        <v>4.1554959785522705E-2</v>
      </c>
      <c r="E31" s="281"/>
      <c r="F31" s="326"/>
      <c r="G31" s="326">
        <f t="shared" ref="G31:K31" si="17">(G30/F30-1)</f>
        <v>-3.3112582781457012E-2</v>
      </c>
      <c r="H31" s="326">
        <f t="shared" si="17"/>
        <v>-0.16780821917808209</v>
      </c>
      <c r="I31" s="326">
        <f t="shared" si="17"/>
        <v>0.45679012345678993</v>
      </c>
      <c r="J31" s="326">
        <f t="shared" si="17"/>
        <v>0.15254237288135597</v>
      </c>
      <c r="K31" s="326">
        <f t="shared" si="17"/>
        <v>0.19975490196078427</v>
      </c>
      <c r="L31" s="326">
        <f>(L30/K30-1)</f>
        <v>-0.22369765066394276</v>
      </c>
      <c r="M31" s="326">
        <f>(M30/L30-1)</f>
        <v>-0.11447368421052617</v>
      </c>
      <c r="N31" s="326">
        <f>(N30/M30-1)</f>
        <v>0.75185735512629992</v>
      </c>
      <c r="O31" s="326"/>
      <c r="P31" s="314"/>
      <c r="Q31" s="323" t="s">
        <v>167</v>
      </c>
      <c r="R31" s="271"/>
      <c r="S31" s="271"/>
      <c r="T31" s="271">
        <v>1011.664012</v>
      </c>
      <c r="U31" s="271"/>
      <c r="V31" s="443">
        <v>406.262</v>
      </c>
      <c r="W31" s="443">
        <v>487.48700000000002</v>
      </c>
      <c r="X31" s="437">
        <v>580.27499999999998</v>
      </c>
      <c r="Y31" s="349">
        <v>400.363</v>
      </c>
      <c r="Z31" s="349">
        <v>347.21699999999998</v>
      </c>
      <c r="AA31" s="451">
        <v>534.25</v>
      </c>
      <c r="AB31" s="451">
        <v>810.10699999999997</v>
      </c>
      <c r="AC31" s="453">
        <v>950.26400000000001</v>
      </c>
      <c r="AD31" s="453">
        <v>829.71600000000001</v>
      </c>
      <c r="AE31" s="453">
        <v>1154.604</v>
      </c>
      <c r="AF31" s="453">
        <v>1023.703</v>
      </c>
    </row>
    <row r="32" spans="1:32" ht="15" customHeight="1" x14ac:dyDescent="0.3">
      <c r="A32" s="363" t="s">
        <v>113</v>
      </c>
      <c r="B32" s="333"/>
      <c r="C32" s="334"/>
      <c r="D32" s="334"/>
      <c r="E32" s="325"/>
      <c r="F32" s="381"/>
      <c r="G32" s="401"/>
      <c r="H32" s="335">
        <f>+((H30/F30)^(1/2)-1)</f>
        <v>-0.1029850828501212</v>
      </c>
      <c r="I32" s="335">
        <f t="shared" ref="I32:M32" si="18">+((I30/F30)^(1/3)-1)</f>
        <v>5.4383917521333203E-2</v>
      </c>
      <c r="J32" s="335">
        <f t="shared" si="18"/>
        <v>0.11795872715976086</v>
      </c>
      <c r="K32" s="335">
        <f t="shared" si="18"/>
        <v>0.26293832017515162</v>
      </c>
      <c r="L32" s="335">
        <f t="shared" si="18"/>
        <v>2.3906055632392009E-2</v>
      </c>
      <c r="M32" s="335">
        <f t="shared" si="18"/>
        <v>-6.2204160177676937E-2</v>
      </c>
      <c r="N32" s="335">
        <f>+((N30/K30)^(1/3)-1)</f>
        <v>6.3923424990447675E-2</v>
      </c>
      <c r="O32" s="335"/>
      <c r="P32" s="314"/>
      <c r="Q32" s="323" t="s">
        <v>162</v>
      </c>
      <c r="R32" s="271"/>
      <c r="S32" s="271"/>
      <c r="T32" s="271">
        <v>71.801948999999993</v>
      </c>
      <c r="U32" s="271"/>
      <c r="V32" s="443">
        <v>73.769000000000005</v>
      </c>
      <c r="W32" s="443">
        <v>35.847000000000001</v>
      </c>
      <c r="X32" s="437">
        <v>49.176000000000002</v>
      </c>
      <c r="Y32" s="349">
        <v>59.533999999999999</v>
      </c>
      <c r="Z32" s="349">
        <v>78.361999999999995</v>
      </c>
      <c r="AA32" s="451">
        <v>164.5</v>
      </c>
      <c r="AB32" s="451">
        <v>50.704000000000001</v>
      </c>
      <c r="AC32" s="453">
        <v>43.854999999999997</v>
      </c>
      <c r="AD32" s="453">
        <v>106.845</v>
      </c>
      <c r="AE32" s="453">
        <v>67.025000000000006</v>
      </c>
      <c r="AF32" s="453">
        <v>91.65</v>
      </c>
    </row>
    <row r="33" spans="1:37" ht="15" customHeight="1" x14ac:dyDescent="0.3">
      <c r="A33" s="363"/>
      <c r="B33" s="333"/>
      <c r="C33" s="333"/>
      <c r="D33" s="333"/>
      <c r="E33" s="333"/>
      <c r="F33" s="382"/>
      <c r="G33" s="402"/>
      <c r="H33" s="402"/>
      <c r="I33" s="402"/>
      <c r="J33" s="402"/>
      <c r="K33" s="402"/>
      <c r="L33" s="402"/>
      <c r="M33" s="402"/>
      <c r="N33" s="402"/>
      <c r="O33" s="402"/>
      <c r="P33" s="314"/>
      <c r="Q33" s="323" t="s">
        <v>163</v>
      </c>
      <c r="R33" s="271"/>
      <c r="S33" s="271"/>
      <c r="T33" s="271">
        <v>249.678866</v>
      </c>
      <c r="U33" s="271"/>
      <c r="V33" s="443">
        <v>13.579000000000001</v>
      </c>
      <c r="W33" s="443">
        <v>12.038</v>
      </c>
      <c r="X33" s="437">
        <v>15.59</v>
      </c>
      <c r="Y33" s="349">
        <v>16.087</v>
      </c>
      <c r="Z33" s="349">
        <v>24.210999999999999</v>
      </c>
      <c r="AA33" s="451">
        <v>71.61</v>
      </c>
      <c r="AB33" s="451">
        <v>21.898</v>
      </c>
      <c r="AC33" s="453">
        <v>22.856000000000002</v>
      </c>
      <c r="AD33" s="453">
        <v>126.479</v>
      </c>
      <c r="AE33" s="453">
        <v>27.696000000000002</v>
      </c>
      <c r="AF33" s="453">
        <v>31.523</v>
      </c>
      <c r="AJ33" s="269" t="s">
        <v>238</v>
      </c>
    </row>
    <row r="34" spans="1:37" ht="15" customHeight="1" x14ac:dyDescent="0.3">
      <c r="A34" s="363"/>
      <c r="B34" s="333"/>
      <c r="C34" s="333"/>
      <c r="D34" s="333"/>
      <c r="E34" s="333"/>
      <c r="F34" s="382"/>
      <c r="G34" s="402"/>
      <c r="H34" s="402"/>
      <c r="I34" s="402"/>
      <c r="J34" s="402"/>
      <c r="K34" s="402"/>
      <c r="L34" s="402"/>
      <c r="M34" s="402"/>
      <c r="N34" s="402"/>
      <c r="O34" s="402"/>
      <c r="P34" s="314"/>
      <c r="Q34" s="323" t="s">
        <v>179</v>
      </c>
      <c r="R34" s="271"/>
      <c r="S34" s="271"/>
      <c r="T34" s="279">
        <v>0</v>
      </c>
      <c r="U34" s="271"/>
      <c r="V34" s="443">
        <v>4.7160000000000002</v>
      </c>
      <c r="W34" s="443">
        <v>3.113</v>
      </c>
      <c r="X34" s="437">
        <v>2.7589999999999999</v>
      </c>
      <c r="Y34" s="349">
        <v>3.5659999999999998</v>
      </c>
      <c r="Z34" s="349">
        <v>3.7090000000000001</v>
      </c>
      <c r="AA34" s="451">
        <v>3.27</v>
      </c>
      <c r="AB34" s="451">
        <v>3.645</v>
      </c>
      <c r="AC34" s="453">
        <v>8.4760000000000009</v>
      </c>
      <c r="AD34" s="453">
        <v>18.931999999999999</v>
      </c>
      <c r="AE34" s="453">
        <v>20.677</v>
      </c>
      <c r="AF34" s="453">
        <v>41.881999999999998</v>
      </c>
    </row>
    <row r="35" spans="1:37" ht="15" customHeight="1" x14ac:dyDescent="0.3">
      <c r="A35" s="477" t="s">
        <v>103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23"/>
      <c r="M35" s="423"/>
      <c r="N35" s="423"/>
      <c r="O35" s="423"/>
      <c r="P35" s="312"/>
      <c r="Q35" s="323" t="s">
        <v>180</v>
      </c>
      <c r="R35" s="271"/>
      <c r="S35" s="271"/>
      <c r="T35" s="279">
        <v>0</v>
      </c>
      <c r="U35" s="279"/>
      <c r="V35" s="443">
        <v>13.971</v>
      </c>
      <c r="W35" s="443">
        <v>41.488</v>
      </c>
      <c r="X35" s="437">
        <v>46.037999999999997</v>
      </c>
      <c r="Y35" s="349">
        <v>145.33600000000001</v>
      </c>
      <c r="Z35" s="349">
        <v>163.37799999999999</v>
      </c>
      <c r="AA35" s="451">
        <v>78.16</v>
      </c>
      <c r="AB35" s="451">
        <v>134.88800000000001</v>
      </c>
      <c r="AC35" s="453">
        <v>80.793000000000006</v>
      </c>
      <c r="AD35" s="453">
        <v>226.012</v>
      </c>
      <c r="AE35" s="453">
        <v>258.89800000000002</v>
      </c>
      <c r="AF35" s="453">
        <v>472.36200000000002</v>
      </c>
    </row>
    <row r="36" spans="1:37" ht="15" customHeight="1" x14ac:dyDescent="0.3">
      <c r="A36" s="359" t="s">
        <v>0</v>
      </c>
      <c r="B36" s="321" t="s">
        <v>31</v>
      </c>
      <c r="C36" s="321" t="s">
        <v>32</v>
      </c>
      <c r="D36" s="321" t="s">
        <v>33</v>
      </c>
      <c r="E36" s="321" t="s">
        <v>34</v>
      </c>
      <c r="F36" s="320" t="s">
        <v>85</v>
      </c>
      <c r="G36" s="320" t="s">
        <v>90</v>
      </c>
      <c r="H36" s="320" t="s">
        <v>169</v>
      </c>
      <c r="I36" s="320" t="s">
        <v>224</v>
      </c>
      <c r="J36" s="320" t="s">
        <v>229</v>
      </c>
      <c r="K36" s="320" t="s">
        <v>231</v>
      </c>
      <c r="L36" s="320" t="s">
        <v>232</v>
      </c>
      <c r="M36" s="320" t="s">
        <v>234</v>
      </c>
      <c r="N36" s="398" t="s">
        <v>237</v>
      </c>
      <c r="O36" s="398"/>
      <c r="P36" s="312"/>
      <c r="Q36" s="363" t="s">
        <v>97</v>
      </c>
      <c r="R36" s="271"/>
      <c r="S36" s="271"/>
      <c r="T36" s="279">
        <v>0</v>
      </c>
      <c r="U36" s="271"/>
      <c r="V36" s="443">
        <v>6.9320000000000004</v>
      </c>
      <c r="W36" s="443">
        <v>10.515000000000001</v>
      </c>
      <c r="X36" s="437">
        <v>11.367000000000001</v>
      </c>
      <c r="Y36" s="346">
        <v>9.5530000000000008</v>
      </c>
      <c r="Z36" s="346">
        <v>10.971</v>
      </c>
      <c r="AA36" s="451">
        <v>16.73</v>
      </c>
      <c r="AB36" s="451">
        <v>17.722999999999999</v>
      </c>
      <c r="AC36" s="453">
        <v>23.617999999999999</v>
      </c>
      <c r="AD36" s="453">
        <v>33.539000000000001</v>
      </c>
      <c r="AE36" s="453">
        <v>42.033000000000001</v>
      </c>
      <c r="AF36" s="453">
        <v>39.634</v>
      </c>
    </row>
    <row r="37" spans="1:37" ht="15" customHeight="1" x14ac:dyDescent="0.3">
      <c r="A37" s="360" t="s">
        <v>17</v>
      </c>
      <c r="B37" s="324"/>
      <c r="C37" s="324">
        <v>7.2940800000000001</v>
      </c>
      <c r="D37" s="324">
        <v>21.920707</v>
      </c>
      <c r="E37" s="324"/>
      <c r="F37" s="383">
        <f>623.27/10</f>
        <v>62.326999999999998</v>
      </c>
      <c r="G37" s="383">
        <f>737.69/10</f>
        <v>73.769000000000005</v>
      </c>
      <c r="H37" s="383">
        <f>358.47/10</f>
        <v>35.847000000000001</v>
      </c>
      <c r="I37" s="357">
        <v>49.176000000000002</v>
      </c>
      <c r="J37" s="357">
        <v>164.495</v>
      </c>
      <c r="K37" s="357">
        <v>50.704000000000001</v>
      </c>
      <c r="L37" s="357">
        <f>K42</f>
        <v>43.855000000000004</v>
      </c>
      <c r="M37" s="357">
        <f>L42</f>
        <v>106.845</v>
      </c>
      <c r="N37" s="357">
        <f>M42</f>
        <v>67.024999999999991</v>
      </c>
      <c r="O37" s="357"/>
      <c r="P37" s="312"/>
      <c r="Q37" s="363"/>
      <c r="R37" s="271"/>
      <c r="S37" s="271"/>
      <c r="T37" s="271"/>
      <c r="U37" s="271"/>
      <c r="V37" s="439"/>
      <c r="W37" s="439"/>
      <c r="X37" s="439"/>
      <c r="Y37" s="348"/>
      <c r="Z37" s="348"/>
      <c r="AA37" s="451"/>
      <c r="AB37" s="451"/>
      <c r="AC37" s="453"/>
      <c r="AD37" s="453"/>
      <c r="AE37" s="453"/>
      <c r="AF37" s="453"/>
    </row>
    <row r="38" spans="1:37" ht="15" customHeight="1" x14ac:dyDescent="0.3">
      <c r="A38" s="363" t="s">
        <v>18</v>
      </c>
      <c r="B38" s="284"/>
      <c r="C38" s="284">
        <v>180.48235099999999</v>
      </c>
      <c r="D38" s="284">
        <v>-40.288313000000002</v>
      </c>
      <c r="E38" s="284"/>
      <c r="F38" s="384">
        <f>-737.54406/10</f>
        <v>-73.754405999999989</v>
      </c>
      <c r="G38" s="384">
        <f>-412.86/10</f>
        <v>-41.286000000000001</v>
      </c>
      <c r="H38" s="384">
        <f>369.59/10</f>
        <v>36.958999999999996</v>
      </c>
      <c r="I38" s="412">
        <v>169.65199999999999</v>
      </c>
      <c r="J38" s="412">
        <v>-104.101</v>
      </c>
      <c r="K38" s="412">
        <v>32.128999999999998</v>
      </c>
      <c r="L38" s="412">
        <v>31.437999999999999</v>
      </c>
      <c r="M38" s="412">
        <v>-24.026</v>
      </c>
      <c r="N38" s="412">
        <v>80.457999999999998</v>
      </c>
      <c r="O38" s="412"/>
      <c r="P38" s="312"/>
      <c r="Q38" s="364" t="s">
        <v>46</v>
      </c>
      <c r="R38" s="276">
        <f>SUM(R40:R44)</f>
        <v>0</v>
      </c>
      <c r="S38" s="276">
        <f>SUM(S40:S44)</f>
        <v>0</v>
      </c>
      <c r="T38" s="276">
        <f>SUM(T40:T44)</f>
        <v>706.61606500000005</v>
      </c>
      <c r="U38" s="276">
        <f>SUM(U40:U44)</f>
        <v>0</v>
      </c>
      <c r="V38" s="438">
        <f t="shared" ref="V38:AF38" si="19">SUM(V39:V44)+V9</f>
        <v>200.54660000000001</v>
      </c>
      <c r="W38" s="438">
        <f t="shared" si="19"/>
        <v>323.911</v>
      </c>
      <c r="X38" s="438">
        <f t="shared" si="19"/>
        <v>397.86800000000005</v>
      </c>
      <c r="Y38" s="347">
        <f t="shared" si="19"/>
        <v>247.03700000000001</v>
      </c>
      <c r="Z38" s="347">
        <f t="shared" si="19"/>
        <v>239.31299999999999</v>
      </c>
      <c r="AA38" s="438">
        <f t="shared" si="19"/>
        <v>334.93</v>
      </c>
      <c r="AB38" s="438">
        <f t="shared" si="19"/>
        <v>523.63699999999994</v>
      </c>
      <c r="AC38" s="438">
        <f t="shared" si="19"/>
        <v>495.58100000000002</v>
      </c>
      <c r="AD38" s="438">
        <f t="shared" si="19"/>
        <v>525.64800000000002</v>
      </c>
      <c r="AE38" s="438">
        <f t="shared" si="19"/>
        <v>800.79499999999996</v>
      </c>
      <c r="AF38" s="438">
        <f t="shared" si="19"/>
        <v>855.78599999999994</v>
      </c>
    </row>
    <row r="39" spans="1:37" ht="15" customHeight="1" x14ac:dyDescent="0.3">
      <c r="A39" s="363" t="s">
        <v>79</v>
      </c>
      <c r="B39" s="284"/>
      <c r="C39" s="284">
        <v>-289.16806400000002</v>
      </c>
      <c r="D39" s="284">
        <v>-254.827887</v>
      </c>
      <c r="E39" s="284"/>
      <c r="F39" s="384">
        <f>63.95796/10</f>
        <v>6.3957959999999998</v>
      </c>
      <c r="G39" s="384">
        <f>-84.41/10</f>
        <v>-8.4409999999999989</v>
      </c>
      <c r="H39" s="384">
        <f>-44.03/10</f>
        <v>-4.4030000000000005</v>
      </c>
      <c r="I39" s="412">
        <v>20.382999999999999</v>
      </c>
      <c r="J39" s="412">
        <v>1.1499999999999999</v>
      </c>
      <c r="K39" s="412">
        <v>-1.236</v>
      </c>
      <c r="L39" s="412">
        <v>11.481</v>
      </c>
      <c r="M39" s="412">
        <v>-126.44499999999999</v>
      </c>
      <c r="N39" s="412">
        <v>3.5550000000000002</v>
      </c>
      <c r="O39" s="412"/>
      <c r="P39" s="314"/>
      <c r="Q39" s="363" t="s">
        <v>181</v>
      </c>
      <c r="R39" s="276"/>
      <c r="S39" s="276"/>
      <c r="T39" s="276"/>
      <c r="U39" s="276"/>
      <c r="V39" s="440">
        <v>1.419</v>
      </c>
      <c r="W39" s="440">
        <v>1.6439999999999999</v>
      </c>
      <c r="X39" s="440">
        <v>2.157</v>
      </c>
      <c r="Y39" s="349">
        <v>6.2619999999999996</v>
      </c>
      <c r="Z39" s="349">
        <v>0</v>
      </c>
      <c r="AA39" s="451">
        <v>0</v>
      </c>
      <c r="AB39" s="451">
        <v>0</v>
      </c>
      <c r="AC39" s="453">
        <v>0</v>
      </c>
      <c r="AD39" s="453">
        <v>0</v>
      </c>
      <c r="AE39" s="453">
        <v>0</v>
      </c>
      <c r="AF39" s="453">
        <v>0</v>
      </c>
    </row>
    <row r="40" spans="1:37" ht="15" customHeight="1" x14ac:dyDescent="0.3">
      <c r="A40" s="363" t="s">
        <v>19</v>
      </c>
      <c r="B40" s="284"/>
      <c r="C40" s="284">
        <v>123.31234000000001</v>
      </c>
      <c r="D40" s="284">
        <v>284.52159899999998</v>
      </c>
      <c r="E40" s="284"/>
      <c r="F40" s="384">
        <f>817.51505/10</f>
        <v>81.751504999999995</v>
      </c>
      <c r="G40" s="384">
        <f>118.06/10</f>
        <v>11.806000000000001</v>
      </c>
      <c r="H40" s="384">
        <f>-192.27/10</f>
        <v>-19.227</v>
      </c>
      <c r="I40" s="412">
        <v>-74.715999999999994</v>
      </c>
      <c r="J40" s="412">
        <v>-10.837999999999999</v>
      </c>
      <c r="K40" s="412">
        <v>-37.741999999999997</v>
      </c>
      <c r="L40" s="412">
        <v>20.071000000000002</v>
      </c>
      <c r="M40" s="412">
        <v>110.651</v>
      </c>
      <c r="N40" s="412">
        <v>-59.387999999999998</v>
      </c>
      <c r="O40" s="412"/>
      <c r="P40" s="314"/>
      <c r="Q40" s="363" t="s">
        <v>82</v>
      </c>
      <c r="R40" s="271"/>
      <c r="S40" s="271"/>
      <c r="T40" s="271">
        <v>266.593322</v>
      </c>
      <c r="U40" s="271"/>
      <c r="V40" s="440">
        <v>15.166600000000001</v>
      </c>
      <c r="W40" s="440">
        <v>41.716999999999999</v>
      </c>
      <c r="X40" s="440">
        <v>94.936000000000007</v>
      </c>
      <c r="Y40" s="349">
        <v>62.890999999999998</v>
      </c>
      <c r="Z40" s="349">
        <v>69.820999999999998</v>
      </c>
      <c r="AA40" s="451">
        <v>54.25</v>
      </c>
      <c r="AB40" s="451">
        <v>101.904</v>
      </c>
      <c r="AC40" s="453">
        <v>102.14700000000001</v>
      </c>
      <c r="AD40" s="453">
        <v>79.570999999999998</v>
      </c>
      <c r="AE40" s="453">
        <f>13.08+113.726</f>
        <v>126.806</v>
      </c>
      <c r="AF40" s="453">
        <f>23.162+56.078</f>
        <v>79.240000000000009</v>
      </c>
    </row>
    <row r="41" spans="1:37" ht="15" customHeight="1" x14ac:dyDescent="0.3">
      <c r="A41" s="367" t="s">
        <v>20</v>
      </c>
      <c r="B41" s="285">
        <f>+B38+B39+B40</f>
        <v>0</v>
      </c>
      <c r="C41" s="285">
        <f>+C38+C39+C40</f>
        <v>14.626626999999985</v>
      </c>
      <c r="D41" s="285">
        <f>+D38+D39+D40</f>
        <v>-10.594601000000011</v>
      </c>
      <c r="E41" s="285"/>
      <c r="F41" s="385">
        <f>143.92895/10</f>
        <v>14.392894999999999</v>
      </c>
      <c r="G41" s="385">
        <f>-379.21/10</f>
        <v>-37.920999999999999</v>
      </c>
      <c r="H41" s="385">
        <f>133.29/10</f>
        <v>13.328999999999999</v>
      </c>
      <c r="I41" s="385">
        <v>115.319</v>
      </c>
      <c r="J41" s="385">
        <f>J38+J39+J40</f>
        <v>-113.78899999999999</v>
      </c>
      <c r="K41" s="385">
        <f>K38+K39+K40</f>
        <v>-6.8490000000000002</v>
      </c>
      <c r="L41" s="385">
        <f>L38+L39+L40</f>
        <v>62.989999999999995</v>
      </c>
      <c r="M41" s="385">
        <f>M38+M39+M40</f>
        <v>-39.820000000000007</v>
      </c>
      <c r="N41" s="385">
        <f>N38+N39+N40</f>
        <v>24.625000000000007</v>
      </c>
      <c r="O41" s="385"/>
      <c r="P41" s="314"/>
      <c r="Q41" s="363" t="s">
        <v>83</v>
      </c>
      <c r="R41" s="271"/>
      <c r="S41" s="271"/>
      <c r="T41" s="279">
        <v>0</v>
      </c>
      <c r="U41" s="271"/>
      <c r="V41" s="440">
        <v>81.406000000000006</v>
      </c>
      <c r="W41" s="440">
        <v>140.44900000000001</v>
      </c>
      <c r="X41" s="440">
        <v>140.46600000000001</v>
      </c>
      <c r="Y41" s="349">
        <v>137.84700000000001</v>
      </c>
      <c r="Z41" s="349">
        <v>137.62899999999999</v>
      </c>
      <c r="AA41" s="451">
        <v>171.83</v>
      </c>
      <c r="AB41" s="451">
        <v>244.87799999999999</v>
      </c>
      <c r="AC41" s="453">
        <v>212.55199999999999</v>
      </c>
      <c r="AD41" s="453">
        <v>237.25</v>
      </c>
      <c r="AE41" s="453">
        <v>292.209</v>
      </c>
      <c r="AF41" s="453">
        <v>361.37799999999999</v>
      </c>
      <c r="AG41" s="269" t="s">
        <v>230</v>
      </c>
    </row>
    <row r="42" spans="1:37" ht="15" customHeight="1" x14ac:dyDescent="0.3">
      <c r="A42" s="367" t="s">
        <v>72</v>
      </c>
      <c r="B42" s="285">
        <f>+B37+B41</f>
        <v>0</v>
      </c>
      <c r="C42" s="285">
        <f>+C37+C41</f>
        <v>21.920706999999986</v>
      </c>
      <c r="D42" s="285">
        <f>+D37+D41</f>
        <v>11.326105999999989</v>
      </c>
      <c r="E42" s="285"/>
      <c r="F42" s="385">
        <f t="shared" ref="F42:K42" si="20">F37+F41</f>
        <v>76.719894999999994</v>
      </c>
      <c r="G42" s="385">
        <f t="shared" si="20"/>
        <v>35.848000000000006</v>
      </c>
      <c r="H42" s="385">
        <f t="shared" si="20"/>
        <v>49.176000000000002</v>
      </c>
      <c r="I42" s="385">
        <f t="shared" si="20"/>
        <v>164.495</v>
      </c>
      <c r="J42" s="385">
        <f t="shared" si="20"/>
        <v>50.706000000000017</v>
      </c>
      <c r="K42" s="385">
        <f t="shared" si="20"/>
        <v>43.855000000000004</v>
      </c>
      <c r="L42" s="385">
        <f>L37+L41</f>
        <v>106.845</v>
      </c>
      <c r="M42" s="385">
        <f t="shared" ref="M42" si="21">M37+M41</f>
        <v>67.024999999999991</v>
      </c>
      <c r="N42" s="385">
        <f>N37+N41</f>
        <v>91.65</v>
      </c>
      <c r="O42" s="385"/>
      <c r="P42" s="314"/>
      <c r="Q42" s="363" t="s">
        <v>78</v>
      </c>
      <c r="R42" s="271"/>
      <c r="S42" s="271"/>
      <c r="T42" s="271">
        <v>252.55324300000001</v>
      </c>
      <c r="U42" s="271"/>
      <c r="V42" s="440">
        <v>66.828999999999994</v>
      </c>
      <c r="W42" s="440">
        <v>70.144000000000005</v>
      </c>
      <c r="X42" s="440">
        <v>71.816999999999993</v>
      </c>
      <c r="Y42" s="349">
        <v>31.673999999999999</v>
      </c>
      <c r="Z42" s="349">
        <v>31.163</v>
      </c>
      <c r="AA42" s="451">
        <v>73.59</v>
      </c>
      <c r="AB42" s="451">
        <v>112.077</v>
      </c>
      <c r="AC42" s="453">
        <v>145.86699999999999</v>
      </c>
      <c r="AD42" s="453">
        <v>107.672</v>
      </c>
      <c r="AE42" s="453">
        <v>139.90899999999999</v>
      </c>
      <c r="AF42" s="453">
        <v>144.096</v>
      </c>
      <c r="AG42" s="319"/>
    </row>
    <row r="43" spans="1:37" ht="15" customHeight="1" x14ac:dyDescent="0.3">
      <c r="I43" s="403"/>
      <c r="J43" s="403"/>
      <c r="P43" s="314"/>
      <c r="Q43" s="363" t="s">
        <v>182</v>
      </c>
      <c r="R43" s="271"/>
      <c r="S43" s="271"/>
      <c r="T43" s="279">
        <v>0</v>
      </c>
      <c r="U43" s="279"/>
      <c r="V43" s="440">
        <v>0.57899999999999996</v>
      </c>
      <c r="W43" s="442"/>
      <c r="X43" s="442">
        <v>0</v>
      </c>
      <c r="Y43" s="351">
        <v>0</v>
      </c>
      <c r="Z43" s="351">
        <v>0</v>
      </c>
      <c r="AA43" s="451">
        <v>0</v>
      </c>
      <c r="AB43" s="451">
        <v>0</v>
      </c>
      <c r="AC43" s="453">
        <v>0</v>
      </c>
      <c r="AD43" s="453">
        <v>0</v>
      </c>
      <c r="AE43" s="453">
        <v>0</v>
      </c>
      <c r="AF43" s="453">
        <v>0</v>
      </c>
    </row>
    <row r="44" spans="1:37" ht="15" customHeight="1" x14ac:dyDescent="0.3">
      <c r="B44" s="269"/>
      <c r="C44" s="269"/>
      <c r="D44" s="269"/>
      <c r="E44" s="269"/>
      <c r="G44" s="386"/>
      <c r="H44" s="388"/>
      <c r="I44" s="388"/>
      <c r="J44" s="388"/>
      <c r="K44" s="388"/>
      <c r="L44" s="388"/>
      <c r="M44" s="388"/>
      <c r="N44" s="388"/>
      <c r="O44" s="388"/>
      <c r="P44" s="314"/>
      <c r="Q44" s="363" t="s">
        <v>70</v>
      </c>
      <c r="R44" s="271"/>
      <c r="S44" s="271"/>
      <c r="T44" s="271">
        <v>187.46950000000001</v>
      </c>
      <c r="U44" s="279"/>
      <c r="V44" s="440">
        <v>0.22800000000000001</v>
      </c>
      <c r="W44" s="440"/>
      <c r="X44" s="440">
        <v>1.0820000000000001</v>
      </c>
      <c r="Y44" s="349">
        <v>1.4319999999999999</v>
      </c>
      <c r="Z44" s="349">
        <v>0.7</v>
      </c>
      <c r="AA44" s="451">
        <v>0</v>
      </c>
      <c r="AB44" s="451">
        <v>0.47499999999999998</v>
      </c>
      <c r="AC44" s="453">
        <v>0.98499999999999999</v>
      </c>
      <c r="AD44" s="453">
        <v>3.6440000000000001</v>
      </c>
      <c r="AE44" s="453">
        <v>7.3550000000000004</v>
      </c>
      <c r="AF44" s="453">
        <v>27.603999999999999</v>
      </c>
    </row>
    <row r="45" spans="1:37" ht="15" customHeight="1" x14ac:dyDescent="0.3">
      <c r="H45" s="388"/>
      <c r="I45" s="388"/>
      <c r="J45" s="388"/>
      <c r="K45" s="388"/>
      <c r="L45" s="388"/>
      <c r="M45" s="388"/>
      <c r="N45" s="388"/>
      <c r="O45" s="388"/>
      <c r="P45" s="314"/>
      <c r="Q45" s="363"/>
      <c r="R45" s="271"/>
      <c r="S45" s="271"/>
      <c r="T45" s="271"/>
      <c r="U45" s="271"/>
      <c r="V45" s="439"/>
      <c r="W45" s="439"/>
      <c r="X45" s="439"/>
      <c r="Y45" s="348"/>
      <c r="Z45" s="348"/>
      <c r="AA45" s="451"/>
      <c r="AB45" s="451"/>
      <c r="AC45" s="451"/>
      <c r="AD45" s="451"/>
      <c r="AE45" s="451"/>
      <c r="AF45" s="451"/>
      <c r="AH45" s="336"/>
      <c r="AJ45" s="337"/>
      <c r="AK45" s="337"/>
    </row>
    <row r="46" spans="1:37" ht="15" customHeight="1" x14ac:dyDescent="0.3">
      <c r="B46" s="286"/>
      <c r="C46" s="286"/>
      <c r="D46" s="286"/>
      <c r="E46" s="286"/>
      <c r="F46" s="387"/>
      <c r="H46" s="388"/>
      <c r="I46" s="388"/>
      <c r="J46" s="388"/>
      <c r="K46" s="388"/>
      <c r="L46" s="388"/>
      <c r="M46" s="388"/>
      <c r="N46" s="388"/>
      <c r="O46" s="388"/>
      <c r="P46" s="314"/>
      <c r="Q46" s="364" t="s">
        <v>47</v>
      </c>
      <c r="R46" s="276">
        <f t="shared" ref="R46:AF46" si="22">(R27-R38-R9)</f>
        <v>0</v>
      </c>
      <c r="S46" s="276">
        <f t="shared" si="22"/>
        <v>0</v>
      </c>
      <c r="T46" s="276">
        <f t="shared" si="22"/>
        <v>893.42854900000032</v>
      </c>
      <c r="U46" s="276">
        <f t="shared" si="22"/>
        <v>0</v>
      </c>
      <c r="V46" s="438">
        <f t="shared" si="22"/>
        <v>283.76340000000005</v>
      </c>
      <c r="W46" s="438">
        <f t="shared" si="22"/>
        <v>196.62000000000018</v>
      </c>
      <c r="X46" s="438">
        <f t="shared" si="22"/>
        <v>223.09</v>
      </c>
      <c r="Y46" s="347">
        <f t="shared" si="22"/>
        <v>383.7709999999999</v>
      </c>
      <c r="Z46" s="347">
        <f t="shared" si="22"/>
        <v>391.87599999999998</v>
      </c>
      <c r="AA46" s="438">
        <f t="shared" si="22"/>
        <v>501.76</v>
      </c>
      <c r="AB46" s="438">
        <f t="shared" si="22"/>
        <v>454.59899999999982</v>
      </c>
      <c r="AC46" s="438">
        <f t="shared" si="22"/>
        <v>603.96699999999998</v>
      </c>
      <c r="AD46" s="438">
        <f t="shared" si="22"/>
        <v>722.33800000000008</v>
      </c>
      <c r="AE46" s="438">
        <f t="shared" si="22"/>
        <v>590.85499999999979</v>
      </c>
      <c r="AF46" s="438">
        <f t="shared" si="22"/>
        <v>650.89000000000033</v>
      </c>
    </row>
    <row r="47" spans="1:37" ht="15" customHeight="1" x14ac:dyDescent="0.3">
      <c r="B47" s="287"/>
      <c r="C47" s="287"/>
      <c r="D47" s="287"/>
      <c r="E47" s="287"/>
      <c r="F47" s="387"/>
      <c r="G47" s="388"/>
      <c r="H47" s="388"/>
      <c r="I47" s="388"/>
      <c r="J47" s="388"/>
      <c r="K47" s="388"/>
      <c r="L47" s="388"/>
      <c r="M47" s="388"/>
      <c r="N47" s="388"/>
      <c r="O47" s="388"/>
      <c r="P47" s="314"/>
      <c r="Q47" s="364" t="s">
        <v>239</v>
      </c>
      <c r="R47" s="276"/>
      <c r="S47" s="276"/>
      <c r="T47" s="276"/>
      <c r="U47" s="276"/>
      <c r="V47" s="438">
        <f>SUM(V48:V52)+V8</f>
        <v>37.46</v>
      </c>
      <c r="W47" s="438">
        <f t="shared" ref="W47:AF47" si="23">SUM(W48:W52)+W8</f>
        <v>37.804000000000002</v>
      </c>
      <c r="X47" s="438">
        <f t="shared" si="23"/>
        <v>18.997</v>
      </c>
      <c r="Y47" s="438">
        <f t="shared" si="23"/>
        <v>16.652000000000001</v>
      </c>
      <c r="Z47" s="438">
        <f t="shared" si="23"/>
        <v>14.326999999999998</v>
      </c>
      <c r="AA47" s="438">
        <f t="shared" si="23"/>
        <v>16.27</v>
      </c>
      <c r="AB47" s="438">
        <f t="shared" si="23"/>
        <v>19.229999999999997</v>
      </c>
      <c r="AC47" s="438">
        <f t="shared" si="23"/>
        <v>8.2859999999999996</v>
      </c>
      <c r="AD47" s="438">
        <f t="shared" si="23"/>
        <v>17.556000000000001</v>
      </c>
      <c r="AE47" s="438">
        <f t="shared" si="23"/>
        <v>76.265000000000001</v>
      </c>
      <c r="AF47" s="438">
        <f t="shared" si="23"/>
        <v>93.012</v>
      </c>
    </row>
    <row r="48" spans="1:37" ht="15" customHeight="1" x14ac:dyDescent="0.3">
      <c r="B48" s="287"/>
      <c r="C48" s="287"/>
      <c r="D48" s="287"/>
      <c r="E48" s="287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14"/>
      <c r="Q48" s="363" t="s">
        <v>48</v>
      </c>
      <c r="R48" s="271"/>
      <c r="S48" s="271"/>
      <c r="T48" s="271">
        <v>62.554617999999998</v>
      </c>
      <c r="U48" s="271"/>
      <c r="V48" s="437">
        <v>1.478</v>
      </c>
      <c r="W48" s="437">
        <v>3.65</v>
      </c>
      <c r="X48" s="437">
        <v>3.0379999999999998</v>
      </c>
      <c r="Y48" s="349">
        <v>5.4249999999999998</v>
      </c>
      <c r="Z48" s="349">
        <v>4.0759999999999996</v>
      </c>
      <c r="AA48" s="451">
        <v>3.29</v>
      </c>
      <c r="AB48" s="451">
        <v>3.0219999999999998</v>
      </c>
      <c r="AC48" s="453">
        <v>3.706</v>
      </c>
      <c r="AD48" s="453">
        <v>2.637</v>
      </c>
      <c r="AE48" s="453">
        <v>2.8780000000000001</v>
      </c>
      <c r="AF48" s="453">
        <v>2.1360000000000001</v>
      </c>
    </row>
    <row r="49" spans="1:37" ht="15" customHeight="1" thickBot="1" x14ac:dyDescent="0.35">
      <c r="B49" s="287"/>
      <c r="C49" s="287"/>
      <c r="D49" s="287"/>
      <c r="E49" s="287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14"/>
      <c r="Q49" s="363" t="s">
        <v>183</v>
      </c>
      <c r="R49" s="271"/>
      <c r="S49" s="271"/>
      <c r="T49" s="271"/>
      <c r="U49" s="271"/>
      <c r="V49" s="437">
        <v>8.4239999999999995</v>
      </c>
      <c r="W49" s="437">
        <v>6.78</v>
      </c>
      <c r="X49" s="437">
        <v>4.6230000000000002</v>
      </c>
      <c r="Y49" s="348">
        <v>0</v>
      </c>
      <c r="Z49" s="348">
        <v>0</v>
      </c>
      <c r="AA49" s="451">
        <v>0</v>
      </c>
      <c r="AB49" s="451">
        <v>0</v>
      </c>
      <c r="AC49" s="453">
        <v>0</v>
      </c>
      <c r="AD49" s="453">
        <v>0</v>
      </c>
      <c r="AE49" s="453">
        <v>0</v>
      </c>
      <c r="AF49" s="453">
        <v>0</v>
      </c>
    </row>
    <row r="50" spans="1:37" ht="15" customHeight="1" thickBot="1" x14ac:dyDescent="0.35">
      <c r="A50" s="369" t="s">
        <v>21</v>
      </c>
      <c r="B50" s="302" t="s">
        <v>31</v>
      </c>
      <c r="C50" s="303" t="s">
        <v>32</v>
      </c>
      <c r="D50" s="303" t="s">
        <v>33</v>
      </c>
      <c r="E50" s="303" t="s">
        <v>34</v>
      </c>
      <c r="F50" s="389" t="s">
        <v>85</v>
      </c>
      <c r="G50" s="404" t="s">
        <v>90</v>
      </c>
      <c r="H50" s="411" t="s">
        <v>169</v>
      </c>
      <c r="I50" s="389" t="s">
        <v>224</v>
      </c>
      <c r="J50" s="411" t="s">
        <v>229</v>
      </c>
      <c r="K50" s="414" t="s">
        <v>231</v>
      </c>
      <c r="L50" s="458" t="s">
        <v>232</v>
      </c>
      <c r="M50" s="462" t="s">
        <v>234</v>
      </c>
      <c r="N50" s="462" t="s">
        <v>237</v>
      </c>
      <c r="O50" s="469"/>
      <c r="P50" s="314"/>
      <c r="Q50" s="363" t="s">
        <v>83</v>
      </c>
      <c r="R50" s="271"/>
      <c r="S50" s="271"/>
      <c r="T50" s="271">
        <v>0</v>
      </c>
      <c r="U50" s="279"/>
      <c r="V50" s="437">
        <v>24.913</v>
      </c>
      <c r="W50" s="437">
        <v>25.652999999999999</v>
      </c>
      <c r="X50" s="437">
        <v>10.250999999999999</v>
      </c>
      <c r="Y50" s="348">
        <v>10.25</v>
      </c>
      <c r="Z50" s="348">
        <v>10.250999999999999</v>
      </c>
      <c r="AA50" s="451">
        <v>12.98</v>
      </c>
      <c r="AB50" s="451">
        <v>16.207999999999998</v>
      </c>
      <c r="AC50" s="453">
        <v>4.58</v>
      </c>
      <c r="AD50" s="453">
        <v>14.919</v>
      </c>
      <c r="AE50" s="453">
        <v>38.890999999999998</v>
      </c>
      <c r="AF50" s="453">
        <v>66.174000000000007</v>
      </c>
    </row>
    <row r="51" spans="1:37" ht="15" customHeight="1" x14ac:dyDescent="0.3">
      <c r="A51" s="370" t="s">
        <v>27</v>
      </c>
      <c r="B51" s="308">
        <f>SUM(B46:B50)</f>
        <v>0</v>
      </c>
      <c r="C51" s="288">
        <f>SUM(C46:C50)</f>
        <v>0</v>
      </c>
      <c r="D51" s="288">
        <f>SUM(D46:D50)</f>
        <v>0</v>
      </c>
      <c r="E51" s="288"/>
      <c r="F51" s="390">
        <f t="shared" ref="F51:K51" si="24">F38</f>
        <v>-73.754405999999989</v>
      </c>
      <c r="G51" s="405">
        <f t="shared" si="24"/>
        <v>-41.286000000000001</v>
      </c>
      <c r="H51" s="405">
        <f t="shared" si="24"/>
        <v>36.958999999999996</v>
      </c>
      <c r="I51" s="390">
        <f t="shared" si="24"/>
        <v>169.65199999999999</v>
      </c>
      <c r="J51" s="405">
        <f t="shared" si="24"/>
        <v>-104.101</v>
      </c>
      <c r="K51" s="415">
        <f t="shared" si="24"/>
        <v>32.128999999999998</v>
      </c>
      <c r="L51" s="459">
        <f>L38</f>
        <v>31.437999999999999</v>
      </c>
      <c r="M51" s="463">
        <f>M38</f>
        <v>-24.026</v>
      </c>
      <c r="N51" s="463">
        <f>N38</f>
        <v>80.457999999999998</v>
      </c>
      <c r="O51" s="470"/>
      <c r="P51" s="314"/>
      <c r="Q51" s="363" t="s">
        <v>107</v>
      </c>
      <c r="R51" s="271"/>
      <c r="S51" s="271"/>
      <c r="T51" s="271">
        <v>0</v>
      </c>
      <c r="U51" s="271"/>
      <c r="V51" s="442"/>
      <c r="W51" s="442"/>
      <c r="X51" s="437">
        <v>0.247</v>
      </c>
      <c r="Y51" s="348">
        <v>0.25</v>
      </c>
      <c r="Z51" s="348">
        <v>0</v>
      </c>
      <c r="AA51" s="451">
        <v>0</v>
      </c>
      <c r="AB51" s="451">
        <v>0</v>
      </c>
      <c r="AC51" s="453">
        <v>0</v>
      </c>
      <c r="AD51" s="453">
        <v>0</v>
      </c>
      <c r="AE51" s="453">
        <v>0</v>
      </c>
      <c r="AF51" s="453">
        <v>0</v>
      </c>
      <c r="AH51" s="316"/>
    </row>
    <row r="52" spans="1:37" ht="15" customHeight="1" x14ac:dyDescent="0.3">
      <c r="A52" s="371" t="s">
        <v>28</v>
      </c>
      <c r="B52" s="309"/>
      <c r="C52" s="289">
        <f>-(Sheet!S16-Sheet!R16)</f>
        <v>0</v>
      </c>
      <c r="D52" s="289">
        <f>-(Sheet!T16-Sheet!S16)</f>
        <v>-1059.722117</v>
      </c>
      <c r="E52" s="289"/>
      <c r="F52" s="391">
        <f>(-67.83+76.25)</f>
        <v>8.4200000000000017</v>
      </c>
      <c r="G52" s="406">
        <f>(-628.81+117.97)/10</f>
        <v>-51.083999999999989</v>
      </c>
      <c r="H52" s="406">
        <f>(-34.48+7.37)/10</f>
        <v>-2.7109999999999994</v>
      </c>
      <c r="I52" s="391">
        <v>-3.4750000000000001</v>
      </c>
      <c r="J52" s="406">
        <v>-9.49</v>
      </c>
      <c r="K52" s="416">
        <v>-11.835000000000001</v>
      </c>
      <c r="L52" s="460">
        <v>-7.6769999999999996</v>
      </c>
      <c r="M52" s="424">
        <f>-98.958+2.423</f>
        <v>-96.534999999999997</v>
      </c>
      <c r="N52" s="424">
        <f>(11.78-97.43)/10</f>
        <v>-8.5650000000000013</v>
      </c>
      <c r="O52" s="471"/>
      <c r="P52" s="314"/>
      <c r="Q52" s="363" t="s">
        <v>168</v>
      </c>
      <c r="R52" s="271"/>
      <c r="S52" s="271"/>
      <c r="T52" s="271"/>
      <c r="U52" s="271"/>
      <c r="V52" s="442"/>
      <c r="W52" s="442"/>
      <c r="X52" s="442"/>
      <c r="Y52" s="348"/>
      <c r="Z52" s="348"/>
      <c r="AA52" s="451">
        <v>0</v>
      </c>
      <c r="AB52" s="451">
        <v>0</v>
      </c>
      <c r="AC52" s="453">
        <v>0</v>
      </c>
      <c r="AD52" s="453">
        <v>0</v>
      </c>
      <c r="AE52" s="453">
        <v>1.2</v>
      </c>
      <c r="AF52" s="453">
        <v>1.2</v>
      </c>
    </row>
    <row r="53" spans="1:37" ht="15" customHeight="1" thickBot="1" x14ac:dyDescent="0.35">
      <c r="A53" s="372" t="s">
        <v>29</v>
      </c>
      <c r="B53" s="306"/>
      <c r="C53" s="290">
        <f>SUM(C51:C52)</f>
        <v>0</v>
      </c>
      <c r="D53" s="290">
        <f>SUM(D51:D52)</f>
        <v>-1059.722117</v>
      </c>
      <c r="E53" s="290"/>
      <c r="F53" s="392">
        <f>SUM(F51:F52)</f>
        <v>-65.334405999999987</v>
      </c>
      <c r="G53" s="407">
        <f>SUM(G51:G52)</f>
        <v>-92.36999999999999</v>
      </c>
      <c r="H53" s="407">
        <f>SUM(H51:H52)</f>
        <v>34.247999999999998</v>
      </c>
      <c r="I53" s="392">
        <f t="shared" ref="I53:K53" si="25">SUM(I51:I52)</f>
        <v>166.17699999999999</v>
      </c>
      <c r="J53" s="407">
        <f t="shared" si="25"/>
        <v>-113.59099999999999</v>
      </c>
      <c r="K53" s="417">
        <f t="shared" si="25"/>
        <v>20.293999999999997</v>
      </c>
      <c r="L53" s="461">
        <f>SUM(L51:L52)</f>
        <v>23.760999999999999</v>
      </c>
      <c r="M53" s="425">
        <f>SUM(M51:M52)</f>
        <v>-120.56099999999999</v>
      </c>
      <c r="N53" s="425">
        <f>SUM(N51:N52)</f>
        <v>71.893000000000001</v>
      </c>
      <c r="O53" s="470"/>
      <c r="P53" s="314"/>
      <c r="Q53" s="364" t="s">
        <v>88</v>
      </c>
      <c r="R53" s="276">
        <f t="shared" ref="R53:AF53" si="26">R15+R27</f>
        <v>0</v>
      </c>
      <c r="S53" s="276">
        <f t="shared" si="26"/>
        <v>0</v>
      </c>
      <c r="T53" s="276">
        <f t="shared" si="26"/>
        <v>3608.4645350000001</v>
      </c>
      <c r="U53" s="276">
        <f t="shared" si="26"/>
        <v>0</v>
      </c>
      <c r="V53" s="438">
        <f t="shared" si="26"/>
        <v>859.40900000000011</v>
      </c>
      <c r="W53" s="438">
        <f t="shared" si="26"/>
        <v>1063.5070000000001</v>
      </c>
      <c r="X53" s="438">
        <f t="shared" si="26"/>
        <v>1180.104</v>
      </c>
      <c r="Y53" s="347">
        <f t="shared" si="26"/>
        <v>1055.56</v>
      </c>
      <c r="Z53" s="347">
        <f t="shared" si="26"/>
        <v>1046.9839999999999</v>
      </c>
      <c r="AA53" s="438">
        <f t="shared" si="26"/>
        <v>1201.9099999999999</v>
      </c>
      <c r="AB53" s="438">
        <f t="shared" si="26"/>
        <v>1489.7569999999996</v>
      </c>
      <c r="AC53" s="438">
        <f t="shared" si="26"/>
        <v>1584.4639999999999</v>
      </c>
      <c r="AD53" s="438">
        <f t="shared" si="26"/>
        <v>1710.21</v>
      </c>
      <c r="AE53" s="438">
        <f t="shared" si="26"/>
        <v>2130.2939999999999</v>
      </c>
      <c r="AF53" s="438">
        <f t="shared" si="26"/>
        <v>2369.4830000000002</v>
      </c>
    </row>
    <row r="54" spans="1:37" ht="15" customHeight="1" x14ac:dyDescent="0.3">
      <c r="I54" s="403"/>
      <c r="J54" s="403"/>
      <c r="P54" s="314"/>
      <c r="Q54" s="364" t="s">
        <v>233</v>
      </c>
      <c r="R54" s="276">
        <f>R51+R38+R10+R6+R48+R50+R52</f>
        <v>0</v>
      </c>
      <c r="S54" s="276">
        <f>S51+S38+S10+S6+S48+S50+S52</f>
        <v>0</v>
      </c>
      <c r="T54" s="276">
        <f>T51+T38+T10+T6+T48+T50+T52</f>
        <v>3710.9501359999999</v>
      </c>
      <c r="U54" s="276">
        <f>U51+U38+U10+U6+U48+U50+U52</f>
        <v>0</v>
      </c>
      <c r="V54" s="438">
        <f>V51+V38+V10+V6+V48+V50+V52+V49</f>
        <v>894.32959999999991</v>
      </c>
      <c r="W54" s="438">
        <f t="shared" ref="W54:AB54" si="27">W51+W38+W10+W6+W48+W49+W50+W52</f>
        <v>1133.4650000000001</v>
      </c>
      <c r="X54" s="438">
        <f t="shared" si="27"/>
        <v>1267.5170000000001</v>
      </c>
      <c r="Y54" s="347">
        <f t="shared" si="27"/>
        <v>1062.492</v>
      </c>
      <c r="Z54" s="347">
        <f t="shared" si="27"/>
        <v>1046.9840000000002</v>
      </c>
      <c r="AA54" s="438">
        <f t="shared" si="27"/>
        <v>1237.18</v>
      </c>
      <c r="AB54" s="438">
        <f t="shared" si="27"/>
        <v>1554.0610000000001</v>
      </c>
      <c r="AC54" s="438">
        <f>AC51+AC38+AC6+AC48+AC49+AC50+AC52</f>
        <v>1584.463</v>
      </c>
      <c r="AD54" s="438">
        <f>AD51+AD38+AD6+AD48+AD49+AD50+AD52</f>
        <v>1710.212</v>
      </c>
      <c r="AE54" s="438">
        <f>AE51+AE38+AE8+AE6+AE48+AE49+AE50+AE52</f>
        <v>2130.2939999999999</v>
      </c>
      <c r="AF54" s="438">
        <f>AF51+AF38+AF8+AF6+AF48+AF49+AF50+AF52</f>
        <v>2369.4829999999997</v>
      </c>
    </row>
    <row r="55" spans="1:37" ht="15" customHeight="1" thickBot="1" x14ac:dyDescent="0.35">
      <c r="I55" s="403"/>
      <c r="J55" s="403"/>
      <c r="P55" s="314"/>
      <c r="Q55" s="432"/>
      <c r="R55" s="291"/>
      <c r="S55" s="291"/>
      <c r="T55" s="291"/>
      <c r="U55" s="291"/>
      <c r="V55" s="444"/>
      <c r="W55" s="444"/>
      <c r="X55" s="444"/>
      <c r="AK55"/>
    </row>
    <row r="56" spans="1:37" ht="16.2" thickBot="1" x14ac:dyDescent="0.35">
      <c r="A56" s="369" t="s">
        <v>21</v>
      </c>
      <c r="B56" s="302" t="s">
        <v>31</v>
      </c>
      <c r="C56" s="303" t="s">
        <v>32</v>
      </c>
      <c r="D56" s="303" t="s">
        <v>33</v>
      </c>
      <c r="E56" s="303" t="s">
        <v>34</v>
      </c>
      <c r="F56" s="393" t="s">
        <v>85</v>
      </c>
      <c r="G56" s="404" t="s">
        <v>90</v>
      </c>
      <c r="H56" s="404" t="s">
        <v>169</v>
      </c>
      <c r="I56" s="393" t="s">
        <v>224</v>
      </c>
      <c r="J56" s="404" t="s">
        <v>229</v>
      </c>
      <c r="K56" s="418" t="s">
        <v>231</v>
      </c>
      <c r="L56" s="426" t="s">
        <v>232</v>
      </c>
      <c r="M56" s="464" t="s">
        <v>234</v>
      </c>
      <c r="N56" s="398" t="s">
        <v>237</v>
      </c>
      <c r="O56" s="398" t="s">
        <v>240</v>
      </c>
      <c r="P56" s="314"/>
      <c r="Q56" s="432"/>
      <c r="R56" s="291"/>
      <c r="S56" s="291"/>
      <c r="T56" s="291"/>
      <c r="U56" s="291"/>
      <c r="V56" s="444"/>
      <c r="W56" s="444"/>
      <c r="X56" s="444"/>
      <c r="AG56" s="316"/>
      <c r="AK56" s="319"/>
    </row>
    <row r="57" spans="1:37" ht="15" customHeight="1" x14ac:dyDescent="0.3">
      <c r="A57" s="373" t="s">
        <v>73</v>
      </c>
      <c r="B57" s="311">
        <v>21957533</v>
      </c>
      <c r="C57" s="310">
        <v>21957533</v>
      </c>
      <c r="D57" s="310">
        <v>16743793</v>
      </c>
      <c r="E57" s="310"/>
      <c r="F57" s="352">
        <v>14784000</v>
      </c>
      <c r="G57" s="353">
        <v>14784000</v>
      </c>
      <c r="H57" s="353">
        <v>14784000</v>
      </c>
      <c r="I57" s="352">
        <v>14784000</v>
      </c>
      <c r="J57" s="353">
        <v>14784000</v>
      </c>
      <c r="K57" s="354">
        <v>14784000</v>
      </c>
      <c r="L57" s="355">
        <v>14784000</v>
      </c>
      <c r="M57" s="355">
        <v>14810700</v>
      </c>
      <c r="N57" s="355">
        <v>14810700</v>
      </c>
      <c r="O57" s="355">
        <v>14844100</v>
      </c>
      <c r="P57" s="505"/>
      <c r="Q57" s="467" t="s">
        <v>49</v>
      </c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7"/>
    </row>
    <row r="58" spans="1:37" ht="15" customHeight="1" x14ac:dyDescent="0.3">
      <c r="A58" s="371" t="s">
        <v>74</v>
      </c>
      <c r="B58" s="305">
        <f>B57*Sheet!R59/10^6</f>
        <v>603.83215749999999</v>
      </c>
      <c r="C58" s="285">
        <f>C57*Sheet!S59/10^6</f>
        <v>436.95490669999998</v>
      </c>
      <c r="D58" s="285">
        <f>D57*Sheet!T59/10^6</f>
        <v>3414.0593927000004</v>
      </c>
      <c r="E58" s="285"/>
      <c r="F58" s="394">
        <f>F57*Sheet!W59/10^6</f>
        <v>606.14400000000001</v>
      </c>
      <c r="G58" s="408">
        <f>G57*Sheet!X59/10^6</f>
        <v>576.57600000000002</v>
      </c>
      <c r="H58" s="408">
        <f>H57*Sheet!X59/10^6</f>
        <v>576.57600000000002</v>
      </c>
      <c r="I58" s="394">
        <f>I57*Sheet!AA59/10^6</f>
        <v>764.33280000000002</v>
      </c>
      <c r="J58" s="408">
        <f>J57*Sheet!AB59/10^6</f>
        <v>1713.4656</v>
      </c>
      <c r="K58" s="419">
        <f>K57*Sheet!AC59/10^6</f>
        <v>1527.1872000000001</v>
      </c>
      <c r="L58" s="427">
        <f>L57*Sheet!AD59/10^6</f>
        <v>1762.2528</v>
      </c>
      <c r="M58" s="427">
        <f>M57*Sheet!AE59/10^6</f>
        <v>1512.4686839999999</v>
      </c>
      <c r="N58" s="427">
        <f>N57*Sheet!AF59/10^6</f>
        <v>1787.503383</v>
      </c>
      <c r="O58" s="472">
        <f>(O57/1000000)*AG59</f>
        <v>2158.7774629999999</v>
      </c>
      <c r="P58" s="314"/>
      <c r="Q58" s="359" t="s">
        <v>50</v>
      </c>
      <c r="R58" s="321" t="s">
        <v>31</v>
      </c>
      <c r="S58" s="321" t="s">
        <v>32</v>
      </c>
      <c r="T58" s="321" t="s">
        <v>33</v>
      </c>
      <c r="U58" s="321" t="s">
        <v>34</v>
      </c>
      <c r="V58" s="320" t="s">
        <v>85</v>
      </c>
      <c r="W58" s="398" t="s">
        <v>90</v>
      </c>
      <c r="X58" s="398" t="s">
        <v>169</v>
      </c>
      <c r="Y58" s="321" t="s">
        <v>222</v>
      </c>
      <c r="Z58" s="321" t="s">
        <v>223</v>
      </c>
      <c r="AA58" s="320" t="s">
        <v>224</v>
      </c>
      <c r="AB58" s="320" t="s">
        <v>229</v>
      </c>
      <c r="AC58" s="320" t="s">
        <v>231</v>
      </c>
      <c r="AD58" s="320" t="s">
        <v>232</v>
      </c>
      <c r="AE58" s="456" t="s">
        <v>234</v>
      </c>
      <c r="AF58" s="398" t="s">
        <v>237</v>
      </c>
      <c r="AG58" s="398" t="s">
        <v>240</v>
      </c>
    </row>
    <row r="59" spans="1:37" ht="15.6" x14ac:dyDescent="0.3">
      <c r="A59" s="371" t="s">
        <v>77</v>
      </c>
      <c r="B59" s="309">
        <f>Sheet!R10</f>
        <v>0</v>
      </c>
      <c r="C59" s="289">
        <f>Sheet!S10</f>
        <v>0</v>
      </c>
      <c r="D59" s="289">
        <f>Sheet!T10</f>
        <v>870.02611300000001</v>
      </c>
      <c r="E59" s="289"/>
      <c r="F59" s="395">
        <f>V10</f>
        <v>37.564</v>
      </c>
      <c r="G59" s="409">
        <f>W10</f>
        <v>71.677999999999997</v>
      </c>
      <c r="H59" s="409">
        <f>X10</f>
        <v>88.24799999999999</v>
      </c>
      <c r="I59" s="395">
        <f t="shared" ref="I59:M59" si="28">AA10</f>
        <v>35.26</v>
      </c>
      <c r="J59" s="395">
        <f t="shared" si="28"/>
        <v>64.302999999999997</v>
      </c>
      <c r="K59" s="420">
        <f t="shared" si="28"/>
        <v>34.03</v>
      </c>
      <c r="L59" s="428">
        <f t="shared" si="28"/>
        <v>97.510999999999996</v>
      </c>
      <c r="M59" s="428">
        <f t="shared" si="28"/>
        <v>267.81200000000001</v>
      </c>
      <c r="N59" s="428">
        <v>266.96999999999997</v>
      </c>
      <c r="O59" s="428">
        <v>266.96999999999997</v>
      </c>
      <c r="P59" s="314"/>
      <c r="Q59" s="433" t="s">
        <v>51</v>
      </c>
      <c r="R59" s="285">
        <v>27.5</v>
      </c>
      <c r="S59" s="285">
        <v>19.899999999999999</v>
      </c>
      <c r="T59" s="285">
        <v>203.9</v>
      </c>
      <c r="U59" s="324">
        <v>31.55</v>
      </c>
      <c r="V59" s="383">
        <v>73.400000000000006</v>
      </c>
      <c r="W59" s="383">
        <v>41</v>
      </c>
      <c r="X59" s="383">
        <v>39</v>
      </c>
      <c r="Y59" s="324">
        <v>40</v>
      </c>
      <c r="Z59" s="324">
        <v>41</v>
      </c>
      <c r="AA59" s="383">
        <v>51.7</v>
      </c>
      <c r="AB59" s="383">
        <v>115.9</v>
      </c>
      <c r="AC59" s="345">
        <v>103.3</v>
      </c>
      <c r="AD59" s="345">
        <v>119.2</v>
      </c>
      <c r="AE59" s="345">
        <v>102.12</v>
      </c>
      <c r="AF59" s="345">
        <v>120.69</v>
      </c>
      <c r="AG59" s="345">
        <v>145.43</v>
      </c>
    </row>
    <row r="60" spans="1:37" ht="15.6" x14ac:dyDescent="0.3">
      <c r="A60" s="371" t="s">
        <v>75</v>
      </c>
      <c r="B60" s="309">
        <f>Sheet!R32</f>
        <v>0</v>
      </c>
      <c r="C60" s="289">
        <f>Sheet!S32</f>
        <v>0</v>
      </c>
      <c r="D60" s="289">
        <f>Sheet!T32</f>
        <v>71.801948999999993</v>
      </c>
      <c r="E60" s="289"/>
      <c r="F60" s="395">
        <f>V32+V33</f>
        <v>87.348000000000013</v>
      </c>
      <c r="G60" s="409">
        <f>W32+W33</f>
        <v>47.885000000000005</v>
      </c>
      <c r="H60" s="409">
        <f>X32+X33</f>
        <v>64.766000000000005</v>
      </c>
      <c r="I60" s="395">
        <f t="shared" ref="I60:N60" si="29">AA32+AA33</f>
        <v>236.11</v>
      </c>
      <c r="J60" s="409">
        <f t="shared" si="29"/>
        <v>72.602000000000004</v>
      </c>
      <c r="K60" s="421">
        <f t="shared" si="29"/>
        <v>66.710999999999999</v>
      </c>
      <c r="L60" s="428">
        <f t="shared" si="29"/>
        <v>233.32400000000001</v>
      </c>
      <c r="M60" s="428">
        <f t="shared" si="29"/>
        <v>94.721000000000004</v>
      </c>
      <c r="N60" s="428">
        <v>123.173</v>
      </c>
      <c r="O60" s="428">
        <v>123.173</v>
      </c>
      <c r="P60" s="314"/>
      <c r="Q60" s="433" t="s">
        <v>52</v>
      </c>
      <c r="R60" s="285">
        <f t="shared" ref="R60:X60" si="30">B30</f>
        <v>5.75</v>
      </c>
      <c r="S60" s="285">
        <f t="shared" si="30"/>
        <v>14.92</v>
      </c>
      <c r="T60" s="285">
        <f t="shared" si="30"/>
        <v>14.3</v>
      </c>
      <c r="U60" s="285">
        <f t="shared" si="30"/>
        <v>0</v>
      </c>
      <c r="V60" s="385">
        <f t="shared" si="30"/>
        <v>6.04</v>
      </c>
      <c r="W60" s="385">
        <f t="shared" si="30"/>
        <v>5.84</v>
      </c>
      <c r="X60" s="385">
        <f t="shared" si="30"/>
        <v>4.8600000000000003</v>
      </c>
      <c r="Y60" s="285" t="e">
        <f>#REF!</f>
        <v>#REF!</v>
      </c>
      <c r="Z60" s="285" t="e">
        <f>#REF!</f>
        <v>#REF!</v>
      </c>
      <c r="AA60" s="385">
        <f t="shared" ref="AA60:AF60" si="31">I30</f>
        <v>7.08</v>
      </c>
      <c r="AB60" s="385">
        <f t="shared" si="31"/>
        <v>8.16</v>
      </c>
      <c r="AC60" s="385">
        <f t="shared" si="31"/>
        <v>9.7899999999999991</v>
      </c>
      <c r="AD60" s="385">
        <f t="shared" si="31"/>
        <v>7.6</v>
      </c>
      <c r="AE60" s="385">
        <f t="shared" si="31"/>
        <v>6.73</v>
      </c>
      <c r="AF60" s="385">
        <f t="shared" si="31"/>
        <v>11.79</v>
      </c>
      <c r="AG60" s="385">
        <v>4.01</v>
      </c>
      <c r="AH60" s="504">
        <f>O30+N30-2.82</f>
        <v>12.979999999999999</v>
      </c>
    </row>
    <row r="61" spans="1:37" ht="15" customHeight="1" thickBot="1" x14ac:dyDescent="0.35">
      <c r="A61" s="374" t="s">
        <v>76</v>
      </c>
      <c r="B61" s="306">
        <f>B58+B59-B60</f>
        <v>603.83215749999999</v>
      </c>
      <c r="C61" s="290">
        <f>C58+C59-C60</f>
        <v>436.95490669999998</v>
      </c>
      <c r="D61" s="290">
        <f>D58+D59-D60</f>
        <v>4212.2835567000011</v>
      </c>
      <c r="E61" s="290"/>
      <c r="F61" s="396">
        <f>F58+F59-F60</f>
        <v>556.3599999999999</v>
      </c>
      <c r="G61" s="410">
        <f>G58+G59-G60</f>
        <v>600.36900000000003</v>
      </c>
      <c r="H61" s="410">
        <f>H58+H59-H60</f>
        <v>600.05800000000011</v>
      </c>
      <c r="I61" s="396">
        <f t="shared" ref="I61:K61" si="32">I58+I59-I60</f>
        <v>563.4828</v>
      </c>
      <c r="J61" s="410">
        <f t="shared" si="32"/>
        <v>1705.1665999999998</v>
      </c>
      <c r="K61" s="422">
        <f t="shared" si="32"/>
        <v>1494.5062</v>
      </c>
      <c r="L61" s="429">
        <f>L58+L59-L60</f>
        <v>1626.4397999999999</v>
      </c>
      <c r="M61" s="465">
        <f>M58+M59-M60</f>
        <v>1685.5596839999998</v>
      </c>
      <c r="N61" s="465">
        <f>N58+N59-N60</f>
        <v>1931.300383</v>
      </c>
      <c r="O61" s="465">
        <f>O58+O59-O60</f>
        <v>2302.5744629999999</v>
      </c>
      <c r="P61" s="314"/>
      <c r="Q61" s="434" t="s">
        <v>53</v>
      </c>
      <c r="R61" s="289">
        <f>(R6*1000000)/Sheet!B57</f>
        <v>0</v>
      </c>
      <c r="S61" s="289">
        <f>(S6*1000000)/Sheet!C57</f>
        <v>0</v>
      </c>
      <c r="T61" s="289">
        <f>(T6*1000000)/Sheet!D57</f>
        <v>123.73261781246339</v>
      </c>
      <c r="U61" s="289" t="e">
        <f>(U6*1000000)/Sheet!E57</f>
        <v>#DIV/0!</v>
      </c>
      <c r="V61" s="445">
        <f>(V6*1000000)/Sheet!F57</f>
        <v>42.032196969696969</v>
      </c>
      <c r="W61" s="445">
        <f>(W6*1000000)/Sheet!G57</f>
        <v>47.46976461038961</v>
      </c>
      <c r="X61" s="445">
        <f>(X6*1000000)/Sheet!H57</f>
        <v>51.626217532467543</v>
      </c>
      <c r="Y61" s="289">
        <f>(Y6*1000000)/Sheet!I57</f>
        <v>53.562770562770574</v>
      </c>
      <c r="Z61" s="289">
        <f>(Z6*1000000)/Sheet!J57</f>
        <v>53.662337662337663</v>
      </c>
      <c r="AA61" s="445">
        <f>(AA6*1000000)/Sheet!K57</f>
        <v>57.543290043290042</v>
      </c>
      <c r="AB61" s="445">
        <f>(AB6*1000000)/Sheet!J57</f>
        <v>64.048363095238102</v>
      </c>
      <c r="AC61" s="445">
        <f>(AC6*1000000)/Sheet!K57</f>
        <v>73.092261904761898</v>
      </c>
      <c r="AD61" s="445">
        <f>(AD6*1000000)/Sheet!L57</f>
        <v>78.937229437229433</v>
      </c>
      <c r="AE61" s="445">
        <f>(AE6*1000000)/Sheet!M57</f>
        <v>84.616797315454363</v>
      </c>
      <c r="AF61" s="445">
        <f>(AF6*1000000)/Sheet!N57</f>
        <v>95.922880079942203</v>
      </c>
      <c r="AG61" s="445" t="s">
        <v>228</v>
      </c>
    </row>
    <row r="62" spans="1:37" ht="15" customHeight="1" x14ac:dyDescent="0.3">
      <c r="I62" s="403"/>
      <c r="J62" s="403"/>
      <c r="L62" s="430"/>
      <c r="P62" s="314"/>
      <c r="Q62" s="434" t="s">
        <v>54</v>
      </c>
      <c r="R62" s="289">
        <v>0.6</v>
      </c>
      <c r="S62" s="289">
        <v>0.6</v>
      </c>
      <c r="T62" s="289">
        <v>2</v>
      </c>
      <c r="U62" s="289">
        <v>1.5</v>
      </c>
      <c r="V62" s="445">
        <v>2</v>
      </c>
      <c r="W62" s="445">
        <v>1</v>
      </c>
      <c r="X62" s="445">
        <v>1</v>
      </c>
      <c r="Y62" s="289">
        <v>1</v>
      </c>
      <c r="Z62" s="289">
        <v>1</v>
      </c>
      <c r="AA62" s="445">
        <v>1</v>
      </c>
      <c r="AB62" s="445">
        <v>0.5</v>
      </c>
      <c r="AC62" s="445">
        <v>1.5</v>
      </c>
      <c r="AD62" s="445">
        <v>2</v>
      </c>
      <c r="AE62" s="445">
        <v>2</v>
      </c>
      <c r="AF62" s="445">
        <v>2</v>
      </c>
      <c r="AG62" s="445" t="s">
        <v>228</v>
      </c>
    </row>
    <row r="63" spans="1:37" ht="15" customHeight="1" thickBot="1" x14ac:dyDescent="0.35">
      <c r="H63" s="386"/>
      <c r="I63" s="386"/>
      <c r="J63" s="386"/>
      <c r="K63" s="386"/>
      <c r="L63" s="386"/>
      <c r="M63" s="386"/>
      <c r="N63" s="386"/>
      <c r="O63" s="386"/>
      <c r="P63" s="314"/>
      <c r="Q63" s="434" t="s">
        <v>55</v>
      </c>
      <c r="R63" s="289">
        <f t="shared" ref="R63:U63" si="33">(R59/R60)</f>
        <v>4.7826086956521738</v>
      </c>
      <c r="S63" s="289">
        <f t="shared" si="33"/>
        <v>1.3337801608579087</v>
      </c>
      <c r="T63" s="289">
        <f t="shared" si="33"/>
        <v>14.258741258741258</v>
      </c>
      <c r="U63" s="292" t="e">
        <f t="shared" si="33"/>
        <v>#DIV/0!</v>
      </c>
      <c r="V63" s="446">
        <f>(V59/V60)</f>
        <v>12.152317880794703</v>
      </c>
      <c r="W63" s="446">
        <f>(W59/W60)</f>
        <v>7.0205479452054798</v>
      </c>
      <c r="X63" s="446">
        <f>(X59/X60)</f>
        <v>8.0246913580246915</v>
      </c>
      <c r="Y63" s="292" t="e">
        <f t="shared" ref="Y63:AA63" si="34">(Y59/Y60)</f>
        <v>#REF!</v>
      </c>
      <c r="Z63" s="292" t="e">
        <f t="shared" si="34"/>
        <v>#REF!</v>
      </c>
      <c r="AA63" s="446">
        <f t="shared" si="34"/>
        <v>7.3022598870056497</v>
      </c>
      <c r="AB63" s="446">
        <f>(AB59/AB60)</f>
        <v>14.203431372549019</v>
      </c>
      <c r="AC63" s="446">
        <f>(AC59/AC60)</f>
        <v>10.551583248212463</v>
      </c>
      <c r="AD63" s="446">
        <f>(AD59/AD60)</f>
        <v>15.684210526315791</v>
      </c>
      <c r="AE63" s="446">
        <f>(AE59/AE60)</f>
        <v>15.173848439821693</v>
      </c>
      <c r="AF63" s="446">
        <f>(AF59/AF60)</f>
        <v>10.236641221374047</v>
      </c>
      <c r="AG63" s="446">
        <f>AG59/AH60</f>
        <v>11.20416024653313</v>
      </c>
      <c r="AJ63" s="466"/>
    </row>
    <row r="64" spans="1:37" ht="15" customHeight="1" thickBot="1" x14ac:dyDescent="0.35">
      <c r="A64" s="484" t="s">
        <v>235</v>
      </c>
      <c r="B64" s="485"/>
      <c r="C64" s="485"/>
      <c r="D64" s="485"/>
      <c r="E64" s="485"/>
      <c r="F64" s="485"/>
      <c r="G64" s="486"/>
      <c r="H64" s="386"/>
      <c r="I64" s="386"/>
      <c r="J64" s="386"/>
      <c r="K64" s="386"/>
      <c r="L64" s="386"/>
      <c r="M64" s="386"/>
      <c r="N64" s="386"/>
      <c r="O64" s="386"/>
      <c r="P64" s="314"/>
      <c r="Q64" s="434" t="s">
        <v>56</v>
      </c>
      <c r="R64" s="289" t="e">
        <f t="shared" ref="R64:U64" si="35">(R59/R61)</f>
        <v>#DIV/0!</v>
      </c>
      <c r="S64" s="289" t="e">
        <f t="shared" si="35"/>
        <v>#DIV/0!</v>
      </c>
      <c r="T64" s="289">
        <f t="shared" si="35"/>
        <v>1.6479082363636979</v>
      </c>
      <c r="U64" s="292" t="e">
        <f t="shared" si="35"/>
        <v>#DIV/0!</v>
      </c>
      <c r="V64" s="446">
        <f>(V59/V61)</f>
        <v>1.7462803586716533</v>
      </c>
      <c r="W64" s="446">
        <f>(W59/W61)</f>
        <v>0.86370767448521146</v>
      </c>
      <c r="X64" s="446">
        <f>(X59/X61)</f>
        <v>0.75543012570062951</v>
      </c>
      <c r="Y64" s="292">
        <f t="shared" ref="Y64:AA64" si="36">(Y59/Y61)</f>
        <v>0.74678735957326425</v>
      </c>
      <c r="Z64" s="292">
        <f t="shared" si="36"/>
        <v>0.76403678606001935</v>
      </c>
      <c r="AA64" s="446">
        <f t="shared" si="36"/>
        <v>0.89845401542223069</v>
      </c>
      <c r="AB64" s="446">
        <f>(AB59/AB61)</f>
        <v>1.8095700561099428</v>
      </c>
      <c r="AC64" s="446">
        <f t="shared" ref="AC64" si="37">(AC59/AC61)</f>
        <v>1.413282299767906</v>
      </c>
      <c r="AD64" s="446">
        <f>(AD59/AD61)</f>
        <v>1.5100605994132004</v>
      </c>
      <c r="AE64" s="446">
        <f>(AE59/AE61)</f>
        <v>1.2068525782096562</v>
      </c>
      <c r="AF64" s="446">
        <f>(AF59/AF61)</f>
        <v>1.2581982515476688</v>
      </c>
      <c r="AG64" s="446" t="s">
        <v>228</v>
      </c>
    </row>
    <row r="65" spans="1:33" ht="15" customHeight="1" x14ac:dyDescent="0.3">
      <c r="A65" s="375" t="s">
        <v>108</v>
      </c>
      <c r="B65" s="317"/>
      <c r="C65" s="304"/>
      <c r="D65" s="304"/>
      <c r="E65" s="487" t="s">
        <v>196</v>
      </c>
      <c r="F65" s="487"/>
      <c r="G65" s="488"/>
      <c r="H65" s="386"/>
      <c r="I65" s="386"/>
      <c r="J65" s="386"/>
      <c r="K65" s="386"/>
      <c r="L65" s="386"/>
      <c r="M65" s="386"/>
      <c r="N65" s="386"/>
      <c r="O65" s="386"/>
      <c r="P65" s="314"/>
      <c r="Q65" s="434" t="s">
        <v>57</v>
      </c>
      <c r="R65" s="289" t="e">
        <f>Sheet!B61/B10</f>
        <v>#DIV/0!</v>
      </c>
      <c r="S65" s="289">
        <f>Sheet!C61/C10</f>
        <v>0.25865823146153766</v>
      </c>
      <c r="T65" s="289">
        <f>Sheet!D61/D10</f>
        <v>2.3806546251337184</v>
      </c>
      <c r="U65" s="292" t="e">
        <f>Sheet!E61/E10</f>
        <v>#DIV/0!</v>
      </c>
      <c r="V65" s="446">
        <f>Sheet!F61/F10</f>
        <v>5.6752553714457035</v>
      </c>
      <c r="W65" s="446">
        <f>Sheet!G61/G10</f>
        <v>5.450962411476298</v>
      </c>
      <c r="X65" s="446">
        <f>Sheet!H61/H10</f>
        <v>6.5209519669637057</v>
      </c>
      <c r="Y65" s="292">
        <f>Sheet!I61/I10</f>
        <v>5.8990462830163031</v>
      </c>
      <c r="Z65" s="292">
        <f>Sheet!J61/J10</f>
        <v>13.398340496750942</v>
      </c>
      <c r="AA65" s="446">
        <f>Sheet!K61/K10</f>
        <v>8.2067476813082436</v>
      </c>
      <c r="AB65" s="446">
        <f>Sheet!J61/J10</f>
        <v>13.398340496750942</v>
      </c>
      <c r="AC65" s="446">
        <f>Sheet!K61/K10</f>
        <v>8.2067476813082436</v>
      </c>
      <c r="AD65" s="446">
        <f>Sheet!L61/L10</f>
        <v>12.995923292049531</v>
      </c>
      <c r="AE65" s="446">
        <f>Sheet!M61/M10</f>
        <v>12.585472033689483</v>
      </c>
      <c r="AF65" s="446">
        <f>Sheet!N61/N10</f>
        <v>8.5126562893941209</v>
      </c>
      <c r="AG65" s="446" t="s">
        <v>228</v>
      </c>
    </row>
    <row r="66" spans="1:33" ht="15" customHeight="1" x14ac:dyDescent="0.3">
      <c r="A66" s="376" t="s">
        <v>109</v>
      </c>
      <c r="B66" s="307"/>
      <c r="C66" s="283"/>
      <c r="D66" s="283"/>
      <c r="E66" s="480" t="s">
        <v>195</v>
      </c>
      <c r="F66" s="480"/>
      <c r="G66" s="481"/>
      <c r="H66" s="386"/>
      <c r="I66" s="386"/>
      <c r="J66" s="386"/>
      <c r="K66" s="386"/>
      <c r="L66" s="386"/>
      <c r="M66" s="386"/>
      <c r="N66" s="386"/>
      <c r="O66" s="386"/>
      <c r="P66" s="314"/>
      <c r="Q66" s="435" t="s">
        <v>58</v>
      </c>
      <c r="R66" s="281" t="e">
        <f t="shared" ref="R66:X66" si="38">(B22/R6)</f>
        <v>#DIV/0!</v>
      </c>
      <c r="S66" s="281" t="e">
        <f t="shared" si="38"/>
        <v>#DIV/0!</v>
      </c>
      <c r="T66" s="281">
        <f t="shared" si="38"/>
        <v>0.7532721607679419</v>
      </c>
      <c r="U66" s="293" t="e">
        <f t="shared" si="38"/>
        <v>#DIV/0!</v>
      </c>
      <c r="V66" s="326">
        <f t="shared" si="38"/>
        <v>0.12510644122020442</v>
      </c>
      <c r="W66" s="326">
        <f t="shared" si="38"/>
        <v>0.12301348118319805</v>
      </c>
      <c r="X66" s="326">
        <f t="shared" si="38"/>
        <v>9.4111697207438741E-2</v>
      </c>
      <c r="Y66" s="281" t="e">
        <f>(#REF!/Y6)</f>
        <v>#REF!</v>
      </c>
      <c r="Z66" s="281" t="e">
        <f>(#REF!/Z6)</f>
        <v>#REF!</v>
      </c>
      <c r="AA66" s="326">
        <f>(I22/AA6)</f>
        <v>0.12295702463795369</v>
      </c>
      <c r="AB66" s="326">
        <f>J22/AB6</f>
        <v>0.12744233496780499</v>
      </c>
      <c r="AC66" s="326">
        <f>K22/AC6</f>
        <v>0.13429163165512367</v>
      </c>
      <c r="AD66" s="326">
        <f>L22/AD6</f>
        <v>9.7202418492418285E-2</v>
      </c>
      <c r="AE66" s="326">
        <f>M22/AE6</f>
        <v>8.0149437375621871E-2</v>
      </c>
      <c r="AF66" s="326">
        <f>N22/AF6</f>
        <v>0.12402819766521064</v>
      </c>
      <c r="AG66" s="326" t="s">
        <v>228</v>
      </c>
    </row>
    <row r="67" spans="1:33" ht="15" customHeight="1" x14ac:dyDescent="0.3">
      <c r="A67" s="376" t="s">
        <v>110</v>
      </c>
      <c r="B67" s="307"/>
      <c r="C67" s="283"/>
      <c r="D67" s="283"/>
      <c r="E67" s="480"/>
      <c r="F67" s="480"/>
      <c r="G67" s="481"/>
      <c r="H67" s="386"/>
      <c r="I67" s="386"/>
      <c r="J67" s="386"/>
      <c r="K67" s="386"/>
      <c r="L67" s="386"/>
      <c r="M67" s="386"/>
      <c r="N67" s="386"/>
      <c r="O67" s="386"/>
      <c r="P67" s="314"/>
      <c r="Q67" s="435" t="s">
        <v>59</v>
      </c>
      <c r="R67" s="281" t="e">
        <f t="shared" ref="R67:X67" si="39">(B19+B16)/R11</f>
        <v>#DIV/0!</v>
      </c>
      <c r="S67" s="281" t="e">
        <f t="shared" si="39"/>
        <v>#DIV/0!</v>
      </c>
      <c r="T67" s="281">
        <f t="shared" si="39"/>
        <v>0.77645570696273336</v>
      </c>
      <c r="U67" s="281" t="e">
        <f t="shared" si="39"/>
        <v>#DIV/0!</v>
      </c>
      <c r="V67" s="326">
        <f t="shared" si="39"/>
        <v>0.16042515602612969</v>
      </c>
      <c r="W67" s="326">
        <f t="shared" si="39"/>
        <v>0.15239380365252983</v>
      </c>
      <c r="X67" s="326">
        <f t="shared" si="39"/>
        <v>0.10942947104401593</v>
      </c>
      <c r="Y67" s="281" t="e">
        <f>(#REF!+#REF!)/Y11</f>
        <v>#REF!</v>
      </c>
      <c r="Z67" s="281" t="e">
        <f>(#REF!+#REF!)/Z11</f>
        <v>#REF!</v>
      </c>
      <c r="AA67" s="326">
        <f>(I19+I16)/AA11</f>
        <v>0.12542820563097609</v>
      </c>
      <c r="AB67" s="326">
        <f>(J10-J15)/AB12</f>
        <v>0.12113505568666404</v>
      </c>
      <c r="AC67" s="326">
        <f>(K10-K15)/AC12</f>
        <v>0.15596165979264992</v>
      </c>
      <c r="AD67" s="326">
        <f>(L10-L15)/AD12</f>
        <v>9.4948174937234273E-2</v>
      </c>
      <c r="AE67" s="326">
        <f>(M10-M15)/AE12</f>
        <v>8.8895140199428596E-2</v>
      </c>
      <c r="AF67" s="326">
        <f>(N10-N15)/AF12</f>
        <v>0.13819806738072402</v>
      </c>
      <c r="AG67" s="326" t="s">
        <v>228</v>
      </c>
    </row>
    <row r="68" spans="1:33" ht="15" customHeight="1" thickBot="1" x14ac:dyDescent="0.35">
      <c r="A68" s="377" t="s">
        <v>111</v>
      </c>
      <c r="B68" s="318"/>
      <c r="C68" s="294"/>
      <c r="D68" s="294"/>
      <c r="E68" s="482" t="s">
        <v>236</v>
      </c>
      <c r="F68" s="482"/>
      <c r="G68" s="483"/>
      <c r="H68" s="386"/>
      <c r="I68" s="386"/>
      <c r="J68" s="386"/>
      <c r="K68" s="386"/>
      <c r="L68" s="386"/>
      <c r="M68" s="386"/>
      <c r="N68" s="386"/>
      <c r="O68" s="386"/>
      <c r="P68" s="314"/>
      <c r="Q68" s="434" t="s">
        <v>60</v>
      </c>
      <c r="R68" s="289" t="e">
        <f t="shared" ref="R68:AF68" si="40">(R10/R6)</f>
        <v>#DIV/0!</v>
      </c>
      <c r="S68" s="289" t="e">
        <f t="shared" si="40"/>
        <v>#DIV/0!</v>
      </c>
      <c r="T68" s="289">
        <f t="shared" si="40"/>
        <v>0.41994676499471706</v>
      </c>
      <c r="U68" s="292" t="e">
        <f t="shared" si="40"/>
        <v>#DIV/0!</v>
      </c>
      <c r="V68" s="446">
        <f t="shared" si="40"/>
        <v>6.0450206307008002E-2</v>
      </c>
      <c r="W68" s="446">
        <f t="shared" si="40"/>
        <v>0.10213552999246216</v>
      </c>
      <c r="X68" s="446">
        <f t="shared" si="40"/>
        <v>0.11562256794044351</v>
      </c>
      <c r="Y68" s="292">
        <f t="shared" si="40"/>
        <v>9.6707548694738542E-3</v>
      </c>
      <c r="Z68" s="292">
        <f t="shared" si="40"/>
        <v>0</v>
      </c>
      <c r="AA68" s="446">
        <f t="shared" si="40"/>
        <v>4.1447244686853485E-2</v>
      </c>
      <c r="AB68" s="446">
        <f t="shared" si="40"/>
        <v>6.7909611560359101E-2</v>
      </c>
      <c r="AC68" s="446">
        <f t="shared" si="40"/>
        <v>3.1491880406738504E-2</v>
      </c>
      <c r="AD68" s="446">
        <f t="shared" si="40"/>
        <v>8.3556410924346694E-2</v>
      </c>
      <c r="AE68" s="446">
        <f t="shared" si="40"/>
        <v>0.21369672383609128</v>
      </c>
      <c r="AF68" s="446">
        <f t="shared" si="40"/>
        <v>0.18791639244448979</v>
      </c>
      <c r="AG68" s="446" t="s">
        <v>228</v>
      </c>
    </row>
    <row r="69" spans="1:33" ht="15" customHeight="1" x14ac:dyDescent="0.3">
      <c r="A69" s="378"/>
      <c r="B69" s="295"/>
      <c r="C69" s="295"/>
      <c r="D69" s="295"/>
      <c r="E69" s="295"/>
      <c r="F69" s="397"/>
      <c r="G69" s="397"/>
      <c r="H69" s="386"/>
      <c r="I69" s="386"/>
      <c r="J69" s="386"/>
      <c r="K69" s="386"/>
      <c r="L69" s="386"/>
      <c r="M69" s="386"/>
      <c r="N69" s="386"/>
      <c r="O69" s="386"/>
      <c r="P69" s="314"/>
      <c r="Q69" s="434" t="s">
        <v>61</v>
      </c>
      <c r="R69" s="289" t="e">
        <f>(R10-R31)/R6</f>
        <v>#DIV/0!</v>
      </c>
      <c r="S69" s="289" t="e">
        <f>(S10-S31)/S6</f>
        <v>#DIV/0!</v>
      </c>
      <c r="T69" s="289">
        <f>(T10-T31)/T6</f>
        <v>-6.8366197976058266E-2</v>
      </c>
      <c r="U69" s="292" t="e">
        <f>(U10-U32)/U6</f>
        <v>#DIV/0!</v>
      </c>
      <c r="V69" s="447">
        <f t="shared" ref="V69:AF69" si="41">(V10-SUM(V32:V33))/V6</f>
        <v>-8.0115351687469041E-2</v>
      </c>
      <c r="W69" s="447">
        <f t="shared" si="41"/>
        <v>3.3903159478649678E-2</v>
      </c>
      <c r="X69" s="447">
        <f t="shared" si="41"/>
        <v>3.0766126602047559E-2</v>
      </c>
      <c r="Y69" s="327">
        <f t="shared" si="41"/>
        <v>-8.5825739513456706E-2</v>
      </c>
      <c r="Z69" s="327">
        <f t="shared" si="41"/>
        <v>-0.12929195909970956</v>
      </c>
      <c r="AA69" s="447">
        <f t="shared" si="41"/>
        <v>-0.23609413202933988</v>
      </c>
      <c r="AB69" s="447">
        <f t="shared" si="41"/>
        <v>-8.7644723627112366E-3</v>
      </c>
      <c r="AC69" s="447">
        <f t="shared" si="41"/>
        <v>-3.0243495256321508E-2</v>
      </c>
      <c r="AD69" s="447">
        <f t="shared" si="41"/>
        <v>-0.11637709424442678</v>
      </c>
      <c r="AE69" s="447">
        <f t="shared" si="41"/>
        <v>0.13811546766206473</v>
      </c>
      <c r="AF69" s="447">
        <f t="shared" si="41"/>
        <v>0.1012166666080095</v>
      </c>
      <c r="AG69" s="447" t="s">
        <v>228</v>
      </c>
    </row>
    <row r="70" spans="1:33" ht="15" customHeight="1" x14ac:dyDescent="0.3">
      <c r="A70" s="378"/>
      <c r="B70" s="295"/>
      <c r="C70" s="295"/>
      <c r="D70" s="295"/>
      <c r="E70" s="295"/>
      <c r="F70" s="397"/>
      <c r="G70" s="397"/>
      <c r="H70" s="386"/>
      <c r="I70" s="386"/>
      <c r="J70" s="386"/>
      <c r="K70" s="386"/>
      <c r="L70" s="386"/>
      <c r="M70" s="386"/>
      <c r="N70" s="386"/>
      <c r="O70" s="386"/>
      <c r="P70" s="314"/>
      <c r="Q70" s="434" t="s">
        <v>62</v>
      </c>
      <c r="R70" s="296">
        <f t="shared" ref="R70:W70" si="42">(R62/R59)</f>
        <v>2.1818181818181816E-2</v>
      </c>
      <c r="S70" s="296">
        <f t="shared" si="42"/>
        <v>3.0150753768844223E-2</v>
      </c>
      <c r="T70" s="296">
        <f t="shared" si="42"/>
        <v>9.8087297694948502E-3</v>
      </c>
      <c r="U70" s="297">
        <f t="shared" si="42"/>
        <v>4.7543581616481777E-2</v>
      </c>
      <c r="V70" s="448">
        <f t="shared" si="42"/>
        <v>2.7247956403269751E-2</v>
      </c>
      <c r="W70" s="448">
        <f t="shared" si="42"/>
        <v>2.4390243902439025E-2</v>
      </c>
      <c r="X70" s="448">
        <f>(X62/X59)</f>
        <v>2.564102564102564E-2</v>
      </c>
      <c r="Y70" s="300">
        <f t="shared" ref="Y70:AB70" si="43">(Y62/Y59)</f>
        <v>2.5000000000000001E-2</v>
      </c>
      <c r="Z70" s="300">
        <f t="shared" si="43"/>
        <v>2.4390243902439025E-2</v>
      </c>
      <c r="AA70" s="448">
        <f t="shared" si="43"/>
        <v>1.9342359767891681E-2</v>
      </c>
      <c r="AB70" s="448">
        <f t="shared" si="43"/>
        <v>4.3140638481449526E-3</v>
      </c>
      <c r="AC70" s="448">
        <f>(AC62/AC59)</f>
        <v>1.452081316553727E-2</v>
      </c>
      <c r="AD70" s="448">
        <f>(AD62/AD59)</f>
        <v>1.6778523489932886E-2</v>
      </c>
      <c r="AE70" s="448">
        <f>(AE62/AE59)</f>
        <v>1.9584802193497845E-2</v>
      </c>
      <c r="AF70" s="448">
        <f>(AF62/AF59)</f>
        <v>1.6571381224625072E-2</v>
      </c>
      <c r="AG70" s="448" t="s">
        <v>228</v>
      </c>
    </row>
    <row r="71" spans="1:33" ht="15" customHeight="1" x14ac:dyDescent="0.3">
      <c r="A71" s="378"/>
      <c r="B71" s="295"/>
      <c r="C71" s="295"/>
      <c r="D71" s="295"/>
      <c r="E71" s="295"/>
      <c r="F71" s="397"/>
      <c r="G71" s="397"/>
      <c r="H71" s="386"/>
      <c r="I71" s="386"/>
      <c r="J71" s="386"/>
      <c r="K71" s="386"/>
      <c r="L71" s="386"/>
      <c r="M71" s="386"/>
      <c r="N71" s="386"/>
      <c r="O71" s="386"/>
      <c r="P71" s="314"/>
      <c r="Q71" s="434" t="s">
        <v>63</v>
      </c>
      <c r="R71" s="298" t="e">
        <f t="shared" ref="R71:X71" si="44">(AVERAGE(Q31:R31)/B4*365)</f>
        <v>#DIV/0!</v>
      </c>
      <c r="S71" s="298" t="e">
        <f t="shared" si="44"/>
        <v>#DIV/0!</v>
      </c>
      <c r="T71" s="298">
        <f t="shared" si="44"/>
        <v>124.49023794197426</v>
      </c>
      <c r="U71" s="298" t="e">
        <f t="shared" si="44"/>
        <v>#DIV/0!</v>
      </c>
      <c r="V71" s="328">
        <f t="shared" si="44"/>
        <v>85.475104332388</v>
      </c>
      <c r="W71" s="328">
        <f t="shared" si="44"/>
        <v>79.164616478513665</v>
      </c>
      <c r="X71" s="328">
        <f t="shared" si="44"/>
        <v>89.367835358862635</v>
      </c>
      <c r="Y71" s="298" t="e">
        <f>(AVERAGE(X31:Y31)/#REF!*365)</f>
        <v>#REF!</v>
      </c>
      <c r="Z71" s="298" t="e">
        <f>(AVERAGE(Y31:Z31)/#REF!*365)</f>
        <v>#REF!</v>
      </c>
      <c r="AA71" s="328">
        <f>(AVERAGE(X31:AA31)/I4*365)</f>
        <v>84.206742825057887</v>
      </c>
      <c r="AB71" s="328">
        <f>(AVERAGE(AA31:AB31)/J4*365)</f>
        <v>85.027765830950997</v>
      </c>
      <c r="AC71" s="328">
        <f>(AVERAGE(AB31:AC31)/K4*365)</f>
        <v>73.597156866585621</v>
      </c>
      <c r="AD71" s="328">
        <f>(AVERAGE(AC31:AD31)/L4*365)</f>
        <v>79.982535862666339</v>
      </c>
      <c r="AE71" s="328">
        <f>(AVERAGE(AD31:AE31)/M4*365)</f>
        <v>70.953410046062899</v>
      </c>
      <c r="AF71" s="328">
        <f>(AVERAGE(AE31:AF31)/N4*365)</f>
        <v>61.174105773039329</v>
      </c>
      <c r="AG71" s="328" t="s">
        <v>228</v>
      </c>
    </row>
    <row r="72" spans="1:33" ht="15" customHeight="1" x14ac:dyDescent="0.3">
      <c r="H72" s="386"/>
      <c r="I72" s="386"/>
      <c r="J72" s="386"/>
      <c r="K72" s="386"/>
      <c r="L72" s="386"/>
      <c r="M72" s="386"/>
      <c r="N72" s="386"/>
      <c r="O72" s="386"/>
      <c r="P72" s="314"/>
      <c r="Q72" s="434" t="s">
        <v>64</v>
      </c>
      <c r="R72" s="298"/>
      <c r="S72" s="298" t="e">
        <f>AVERAGE(R40:S40)/(#REF!+#REF!)*365</f>
        <v>#DIV/0!</v>
      </c>
      <c r="T72" s="298" t="e">
        <f>AVERAGE(S40:T40)/(#REF!+#REF!)*365</f>
        <v>#REF!</v>
      </c>
      <c r="U72" s="298" t="e">
        <f>AVERAGE(T40:U40)/(#REF!)*365</f>
        <v>#REF!</v>
      </c>
      <c r="V72" s="328">
        <f t="shared" ref="V72:AA72" si="45">AVERAGE(U40:V40)/(F7)*365</f>
        <v>3.3820771926650992</v>
      </c>
      <c r="W72" s="328">
        <f t="shared" si="45"/>
        <v>5.3230663918286982</v>
      </c>
      <c r="X72" s="328">
        <f t="shared" si="45"/>
        <v>11.94130300505631</v>
      </c>
      <c r="Y72" s="298">
        <f t="shared" si="45"/>
        <v>14.983562958589422</v>
      </c>
      <c r="Z72" s="298">
        <f t="shared" si="45"/>
        <v>8.7810546283016038</v>
      </c>
      <c r="AA72" s="328">
        <f t="shared" si="45"/>
        <v>5.4129455534539836</v>
      </c>
      <c r="AB72" s="328">
        <f>AVERAGE(AA40:AB40)/(I7)*365</f>
        <v>14.824733982370397</v>
      </c>
      <c r="AC72" s="328">
        <f>AVERAGE(AB40:AC40)/(J7)*365</f>
        <v>13.501288338353506</v>
      </c>
      <c r="AD72" s="328">
        <f>AVERAGE(AC40:AD40)/(L7)*365</f>
        <v>8.4250184690456766</v>
      </c>
      <c r="AE72" s="328">
        <f>AVERAGE(AD40:AE40)/(M7)*365</f>
        <v>7.5782893467373293</v>
      </c>
      <c r="AF72" s="328">
        <f>AVERAGE(AE40:AF40)/(N7)*365</f>
        <v>5.9957795754988643</v>
      </c>
      <c r="AG72" s="328" t="s">
        <v>228</v>
      </c>
    </row>
    <row r="73" spans="1:33" ht="15" customHeight="1" x14ac:dyDescent="0.3">
      <c r="H73" s="386"/>
      <c r="I73" s="386"/>
      <c r="J73" s="386"/>
      <c r="K73" s="386"/>
      <c r="L73" s="386"/>
      <c r="M73" s="386"/>
      <c r="N73" s="386"/>
      <c r="O73" s="386"/>
      <c r="P73" s="314"/>
      <c r="Q73" s="434" t="s">
        <v>65</v>
      </c>
      <c r="R73" s="298"/>
      <c r="S73" s="298" t="e">
        <f>(AVERAGE(R28:S28)/(#REF!+#REF!)*365)</f>
        <v>#DIV/0!</v>
      </c>
      <c r="T73" s="298" t="e">
        <f>(AVERAGE(S28:T28)/(#REF!+#REF!)*365)</f>
        <v>#REF!</v>
      </c>
      <c r="U73" s="298" t="e">
        <f>(AVERAGE(T28:U28)/(#REF!+#REF!)*365)</f>
        <v>#REF!</v>
      </c>
      <c r="V73" s="328" t="s">
        <v>221</v>
      </c>
      <c r="W73" s="328" t="s">
        <v>221</v>
      </c>
      <c r="X73" s="328" t="s">
        <v>221</v>
      </c>
      <c r="Y73" s="298" t="s">
        <v>221</v>
      </c>
      <c r="Z73" s="298" t="s">
        <v>221</v>
      </c>
      <c r="AA73" s="328" t="s">
        <v>221</v>
      </c>
      <c r="AB73" s="328" t="s">
        <v>228</v>
      </c>
      <c r="AC73" s="328" t="s">
        <v>228</v>
      </c>
      <c r="AD73" s="326" t="s">
        <v>228</v>
      </c>
      <c r="AE73" s="326" t="s">
        <v>228</v>
      </c>
      <c r="AF73" s="326" t="s">
        <v>228</v>
      </c>
      <c r="AG73" s="326" t="s">
        <v>228</v>
      </c>
    </row>
    <row r="74" spans="1:33" ht="15" customHeight="1" x14ac:dyDescent="0.3">
      <c r="H74" s="386"/>
      <c r="I74" s="386"/>
      <c r="J74" s="386"/>
      <c r="K74" s="386"/>
      <c r="L74" s="386"/>
      <c r="M74" s="386"/>
      <c r="N74" s="386"/>
      <c r="O74" s="386"/>
      <c r="P74" s="314"/>
      <c r="Q74" s="434" t="s">
        <v>81</v>
      </c>
      <c r="R74" s="298"/>
      <c r="S74" s="298" t="e">
        <f t="shared" ref="S74:U74" si="46">(S73+S71-S72)</f>
        <v>#DIV/0!</v>
      </c>
      <c r="T74" s="298" t="e">
        <f t="shared" si="46"/>
        <v>#REF!</v>
      </c>
      <c r="U74" s="298" t="e">
        <f t="shared" si="46"/>
        <v>#REF!</v>
      </c>
      <c r="V74" s="328">
        <f t="shared" ref="V74:W74" si="47">(V71-V72)</f>
        <v>82.093027139722906</v>
      </c>
      <c r="W74" s="328">
        <f t="shared" si="47"/>
        <v>73.841550086684961</v>
      </c>
      <c r="X74" s="328">
        <f>(X71-X72)</f>
        <v>77.426532353806323</v>
      </c>
      <c r="Y74" s="298" t="e">
        <f t="shared" ref="Y74:AA74" si="48">(Y71-Y72)</f>
        <v>#REF!</v>
      </c>
      <c r="Z74" s="298" t="e">
        <f t="shared" si="48"/>
        <v>#REF!</v>
      </c>
      <c r="AA74" s="328">
        <f t="shared" si="48"/>
        <v>78.793797271603907</v>
      </c>
      <c r="AB74" s="328">
        <f>(AB71-AB72)</f>
        <v>70.203031848580594</v>
      </c>
      <c r="AC74" s="328">
        <f>(AC71-AC72)</f>
        <v>60.095868528232117</v>
      </c>
      <c r="AD74" s="328">
        <f>(AD71-AD72)</f>
        <v>71.557517393620657</v>
      </c>
      <c r="AE74" s="328">
        <f>(AE71-AE72)</f>
        <v>63.375120699325571</v>
      </c>
      <c r="AF74" s="328">
        <f>(AF71-AF72)</f>
        <v>55.178326197540464</v>
      </c>
      <c r="AG74" s="328" t="s">
        <v>228</v>
      </c>
    </row>
    <row r="75" spans="1:33" ht="15" customHeight="1" x14ac:dyDescent="0.3">
      <c r="H75" s="386"/>
      <c r="I75" s="386"/>
      <c r="J75" s="386"/>
      <c r="K75" s="386"/>
      <c r="L75" s="386"/>
      <c r="M75" s="386"/>
      <c r="N75" s="386"/>
      <c r="O75" s="386"/>
      <c r="P75" s="314"/>
      <c r="Q75" s="434" t="s">
        <v>66</v>
      </c>
      <c r="R75" s="298"/>
      <c r="S75" s="298" t="e">
        <f>AVERAGE(R46:S46)/#REF!*365</f>
        <v>#REF!</v>
      </c>
      <c r="T75" s="298">
        <f>AVERAGE(S46:T46)/D4*365</f>
        <v>54.97039102403243</v>
      </c>
      <c r="U75" s="298" t="e">
        <f>AVERAGE(T46:U46)/E4*365</f>
        <v>#DIV/0!</v>
      </c>
      <c r="V75" s="328">
        <f>AVERAGE(U46:V46)/F4*365</f>
        <v>29.85106436328423</v>
      </c>
      <c r="W75" s="328">
        <f>AVERAGE(V46:W46)/G4*365</f>
        <v>42.550389005911548</v>
      </c>
      <c r="X75" s="328">
        <f>AVERAGE(W46:X46)/H4*365</f>
        <v>35.12821600550334</v>
      </c>
      <c r="Y75" s="298" t="e">
        <f>AVERAGE(X46:Y46)/#REF!*365</f>
        <v>#REF!</v>
      </c>
      <c r="Z75" s="298" t="e">
        <f>AVERAGE(Y46:Z46)/#REF!*365</f>
        <v>#REF!</v>
      </c>
      <c r="AA75" s="328">
        <f>AVERAGE(Z46:AA46)/I4*365</f>
        <v>80.822699934980491</v>
      </c>
      <c r="AB75" s="328">
        <f>AVERAGE(AA46:AB46)/I4*365</f>
        <v>86.49552668773191</v>
      </c>
      <c r="AC75" s="328">
        <f>AVERAGE(AB46:AC46)/J4*365</f>
        <v>66.952083386039902</v>
      </c>
      <c r="AD75" s="328">
        <f>AVERAGE(AC46:AD46)/L4*365</f>
        <v>59.596870317269683</v>
      </c>
      <c r="AE75" s="328">
        <f>AVERAGE(AD46:AE46)/M4*365</f>
        <v>46.955894915446834</v>
      </c>
      <c r="AF75" s="328">
        <f>AVERAGE(AE46:AF46)/N4*365</f>
        <v>34.872329737333963</v>
      </c>
      <c r="AG75" s="328" t="s">
        <v>228</v>
      </c>
    </row>
    <row r="76" spans="1:33" ht="15" customHeight="1" x14ac:dyDescent="0.3">
      <c r="H76" s="386"/>
      <c r="I76" s="386"/>
      <c r="J76" s="386"/>
      <c r="K76" s="386"/>
      <c r="L76" s="386"/>
      <c r="M76" s="386"/>
      <c r="N76" s="386"/>
      <c r="O76" s="386"/>
      <c r="P76" s="314"/>
      <c r="Q76" s="436" t="s">
        <v>86</v>
      </c>
      <c r="R76" s="299"/>
      <c r="S76" s="299" t="e">
        <f>C16/S10</f>
        <v>#DIV/0!</v>
      </c>
      <c r="T76" s="299">
        <f>D16/T10</f>
        <v>0.15203499300026183</v>
      </c>
      <c r="U76" s="300" t="e">
        <f>E16/U10</f>
        <v>#DIV/0!</v>
      </c>
      <c r="V76" s="329">
        <f>G16/V10</f>
        <v>0.30454690661271427</v>
      </c>
      <c r="W76" s="329">
        <f>H16/W10</f>
        <v>0.22336002678646172</v>
      </c>
      <c r="X76" s="329">
        <f>I16/X10</f>
        <v>6.4205421086030293E-2</v>
      </c>
      <c r="Y76" s="329" t="e">
        <f>#REF!/Y10</f>
        <v>#REF!</v>
      </c>
      <c r="Z76" s="329" t="e">
        <f>#REF!/Z10</f>
        <v>#REF!</v>
      </c>
      <c r="AA76" s="329">
        <f t="shared" ref="AA76:AF76" si="49">I16/AA10</f>
        <v>0.16069200226885991</v>
      </c>
      <c r="AB76" s="329">
        <f t="shared" si="49"/>
        <v>0.11372719779792545</v>
      </c>
      <c r="AC76" s="329">
        <f t="shared" si="49"/>
        <v>0.51689685571554511</v>
      </c>
      <c r="AD76" s="329">
        <f t="shared" si="49"/>
        <v>0.1505471177610731</v>
      </c>
      <c r="AE76" s="329">
        <f t="shared" si="49"/>
        <v>0.11482308485056682</v>
      </c>
      <c r="AF76" s="329">
        <f t="shared" si="49"/>
        <v>0.10834550698580367</v>
      </c>
      <c r="AG76" s="329" t="s">
        <v>228</v>
      </c>
    </row>
    <row r="77" spans="1:33" ht="15" customHeight="1" x14ac:dyDescent="0.3">
      <c r="H77" s="386"/>
      <c r="I77" s="386"/>
      <c r="J77" s="386"/>
      <c r="K77" s="386"/>
      <c r="L77" s="386"/>
      <c r="M77" s="386"/>
      <c r="N77" s="386"/>
      <c r="O77" s="386"/>
      <c r="P77" s="314"/>
      <c r="Q77" s="363" t="s">
        <v>98</v>
      </c>
      <c r="R77" s="289"/>
      <c r="S77" s="289">
        <f>(C19+C16)/C16</f>
        <v>13.674528802140234</v>
      </c>
      <c r="T77" s="289">
        <f>(D19+D16)/D16</f>
        <v>13.50157805272908</v>
      </c>
      <c r="U77" s="289" t="e">
        <f>(E19+E16)/E16</f>
        <v>#DIV/0!</v>
      </c>
      <c r="V77" s="445">
        <f t="shared" ref="V77:AF77" si="50">(D19+D16)/D16</f>
        <v>13.50157805272908</v>
      </c>
      <c r="W77" s="445" t="e">
        <f t="shared" si="50"/>
        <v>#DIV/0!</v>
      </c>
      <c r="X77" s="445">
        <f t="shared" si="50"/>
        <v>10.282598800331879</v>
      </c>
      <c r="Y77" s="445">
        <f t="shared" si="50"/>
        <v>9.8522727272727373</v>
      </c>
      <c r="Z77" s="445">
        <f t="shared" si="50"/>
        <v>5.3466583385384121</v>
      </c>
      <c r="AA77" s="445">
        <f t="shared" si="50"/>
        <v>19.19255206494881</v>
      </c>
      <c r="AB77" s="445">
        <f t="shared" si="50"/>
        <v>17.615069055107323</v>
      </c>
      <c r="AC77" s="445">
        <f t="shared" si="50"/>
        <v>9.9122797043774877</v>
      </c>
      <c r="AD77" s="445">
        <f t="shared" si="50"/>
        <v>9.2473433242506875</v>
      </c>
      <c r="AE77" s="445">
        <f t="shared" si="50"/>
        <v>4.6484667165295468</v>
      </c>
      <c r="AF77" s="445">
        <f t="shared" si="50"/>
        <v>7.8918236819360343</v>
      </c>
      <c r="AG77" s="445" t="s">
        <v>228</v>
      </c>
    </row>
    <row r="78" spans="1:33" ht="15" customHeight="1" x14ac:dyDescent="0.3">
      <c r="H78" s="386"/>
      <c r="I78" s="386"/>
      <c r="J78" s="386"/>
      <c r="K78" s="386"/>
      <c r="L78" s="386"/>
      <c r="M78" s="386"/>
      <c r="N78" s="386"/>
      <c r="O78" s="386"/>
      <c r="P78" s="314"/>
    </row>
    <row r="79" spans="1:33" ht="15" customHeight="1" x14ac:dyDescent="0.3">
      <c r="H79" s="386"/>
      <c r="I79" s="386"/>
      <c r="J79" s="386"/>
      <c r="K79" s="386"/>
      <c r="L79" s="386"/>
      <c r="M79" s="386"/>
      <c r="N79" s="386"/>
      <c r="O79" s="386"/>
      <c r="P79" s="314"/>
    </row>
    <row r="80" spans="1:33" ht="15" customHeight="1" x14ac:dyDescent="0.3">
      <c r="H80" s="386"/>
      <c r="I80" s="386"/>
      <c r="J80" s="386"/>
      <c r="K80" s="386"/>
      <c r="L80" s="386"/>
      <c r="M80" s="386"/>
      <c r="N80" s="386"/>
      <c r="O80" s="386"/>
    </row>
    <row r="81" spans="8:15" ht="15" customHeight="1" x14ac:dyDescent="0.3">
      <c r="H81" s="386"/>
      <c r="I81" s="386"/>
      <c r="J81" s="386"/>
      <c r="K81" s="386"/>
      <c r="L81" s="386"/>
      <c r="M81" s="386"/>
      <c r="N81" s="386"/>
      <c r="O81" s="386"/>
    </row>
    <row r="82" spans="8:15" ht="15" customHeight="1" x14ac:dyDescent="0.3">
      <c r="H82" s="386"/>
      <c r="I82" s="386"/>
      <c r="J82" s="386"/>
      <c r="K82" s="386"/>
      <c r="L82" s="386"/>
      <c r="M82" s="386"/>
      <c r="N82" s="386"/>
      <c r="O82" s="386"/>
    </row>
    <row r="83" spans="8:15" ht="15" customHeight="1" x14ac:dyDescent="0.3">
      <c r="H83" s="386"/>
      <c r="I83" s="386"/>
      <c r="J83" s="386"/>
      <c r="K83" s="386"/>
      <c r="L83" s="386"/>
      <c r="M83" s="386"/>
      <c r="N83" s="386"/>
      <c r="O83" s="386"/>
    </row>
    <row r="84" spans="8:15" ht="15" customHeight="1" x14ac:dyDescent="0.3">
      <c r="H84" s="386"/>
      <c r="I84" s="386"/>
      <c r="J84" s="386"/>
      <c r="K84" s="386"/>
      <c r="L84" s="386"/>
      <c r="M84" s="386"/>
      <c r="N84" s="386"/>
      <c r="O84" s="386"/>
    </row>
    <row r="85" spans="8:15" ht="15" customHeight="1" x14ac:dyDescent="0.3">
      <c r="H85" s="386"/>
      <c r="I85" s="386"/>
      <c r="J85" s="386"/>
      <c r="K85" s="386"/>
      <c r="L85" s="386"/>
      <c r="M85" s="386"/>
      <c r="N85" s="386"/>
      <c r="O85" s="386"/>
    </row>
    <row r="86" spans="8:15" ht="15" customHeight="1" x14ac:dyDescent="0.3">
      <c r="H86" s="386"/>
      <c r="I86" s="386"/>
      <c r="J86" s="386"/>
      <c r="K86" s="386"/>
      <c r="L86" s="386"/>
      <c r="M86" s="386"/>
      <c r="N86" s="386"/>
      <c r="O86" s="386"/>
    </row>
    <row r="87" spans="8:15" ht="15" customHeight="1" x14ac:dyDescent="0.3">
      <c r="H87" s="386"/>
      <c r="I87" s="386"/>
      <c r="J87" s="386"/>
      <c r="K87" s="386"/>
      <c r="L87" s="386"/>
      <c r="M87" s="386"/>
      <c r="N87" s="386"/>
      <c r="O87" s="386"/>
    </row>
    <row r="88" spans="8:15" ht="15" customHeight="1" x14ac:dyDescent="0.3">
      <c r="H88" s="386"/>
      <c r="I88" s="386"/>
      <c r="J88" s="386"/>
      <c r="K88" s="386"/>
      <c r="L88" s="386"/>
      <c r="M88" s="386"/>
      <c r="N88" s="386"/>
      <c r="O88" s="386"/>
    </row>
    <row r="89" spans="8:15" ht="15" customHeight="1" x14ac:dyDescent="0.3">
      <c r="H89" s="386"/>
      <c r="I89" s="386"/>
      <c r="J89" s="386"/>
      <c r="K89" s="386"/>
      <c r="L89" s="386"/>
      <c r="M89" s="386"/>
      <c r="N89" s="386"/>
      <c r="O89" s="386"/>
    </row>
    <row r="90" spans="8:15" ht="15" customHeight="1" x14ac:dyDescent="0.3">
      <c r="H90" s="386"/>
      <c r="I90" s="386"/>
      <c r="J90" s="386"/>
      <c r="K90" s="386"/>
      <c r="L90" s="386"/>
      <c r="M90" s="386"/>
      <c r="N90" s="386"/>
      <c r="O90" s="386"/>
    </row>
    <row r="91" spans="8:15" ht="15" customHeight="1" x14ac:dyDescent="0.3">
      <c r="H91" s="386"/>
      <c r="I91" s="386"/>
      <c r="J91" s="386"/>
      <c r="K91" s="386"/>
      <c r="L91" s="386"/>
      <c r="M91" s="386"/>
      <c r="N91" s="386"/>
      <c r="O91" s="386"/>
    </row>
    <row r="92" spans="8:15" ht="15" customHeight="1" x14ac:dyDescent="0.3">
      <c r="H92" s="386"/>
      <c r="I92" s="386"/>
      <c r="J92" s="386"/>
      <c r="K92" s="386"/>
      <c r="L92" s="386"/>
      <c r="M92" s="386"/>
      <c r="N92" s="386"/>
      <c r="O92" s="386"/>
    </row>
    <row r="93" spans="8:15" ht="15" customHeight="1" x14ac:dyDescent="0.3">
      <c r="H93" s="386"/>
      <c r="I93" s="386"/>
      <c r="J93" s="386"/>
      <c r="K93" s="386"/>
      <c r="L93" s="386"/>
      <c r="M93" s="386"/>
      <c r="N93" s="386"/>
      <c r="O93" s="386"/>
    </row>
    <row r="94" spans="8:15" ht="15" customHeight="1" x14ac:dyDescent="0.3">
      <c r="H94" s="386"/>
      <c r="I94" s="386"/>
      <c r="J94" s="386"/>
      <c r="K94" s="386"/>
      <c r="L94" s="386"/>
      <c r="M94" s="386"/>
      <c r="N94" s="386"/>
      <c r="O94" s="386"/>
    </row>
    <row r="95" spans="8:15" ht="15" customHeight="1" x14ac:dyDescent="0.3">
      <c r="H95" s="386"/>
      <c r="I95" s="386"/>
      <c r="J95" s="386"/>
      <c r="K95" s="386"/>
      <c r="L95" s="386"/>
      <c r="M95" s="386"/>
      <c r="N95" s="386"/>
      <c r="O95" s="386"/>
    </row>
    <row r="96" spans="8:15" ht="15" customHeight="1" x14ac:dyDescent="0.3">
      <c r="H96" s="386"/>
      <c r="I96" s="386"/>
      <c r="J96" s="386"/>
      <c r="K96" s="386"/>
      <c r="L96" s="386"/>
      <c r="M96" s="386"/>
      <c r="N96" s="386"/>
      <c r="O96" s="386"/>
    </row>
    <row r="97" spans="8:15" ht="15" customHeight="1" x14ac:dyDescent="0.3">
      <c r="H97" s="386"/>
      <c r="I97" s="386"/>
      <c r="J97" s="386"/>
      <c r="K97" s="386"/>
      <c r="L97" s="386"/>
      <c r="M97" s="386"/>
      <c r="N97" s="386"/>
      <c r="O97" s="386"/>
    </row>
    <row r="98" spans="8:15" ht="15" customHeight="1" x14ac:dyDescent="0.3">
      <c r="H98" s="386"/>
      <c r="I98" s="386"/>
      <c r="J98" s="386"/>
      <c r="K98" s="386"/>
      <c r="L98" s="386"/>
      <c r="M98" s="386"/>
      <c r="N98" s="386"/>
      <c r="O98" s="386"/>
    </row>
    <row r="99" spans="8:15" ht="15" customHeight="1" x14ac:dyDescent="0.3">
      <c r="H99" s="386"/>
      <c r="I99" s="386"/>
      <c r="J99" s="386"/>
      <c r="K99" s="386"/>
      <c r="L99" s="386"/>
      <c r="M99" s="386"/>
      <c r="N99" s="386"/>
      <c r="O99" s="386"/>
    </row>
    <row r="100" spans="8:15" ht="15" customHeight="1" x14ac:dyDescent="0.3">
      <c r="H100" s="386"/>
      <c r="I100" s="386"/>
      <c r="J100" s="386"/>
      <c r="K100" s="386"/>
      <c r="L100" s="386"/>
      <c r="M100" s="386"/>
      <c r="N100" s="386"/>
      <c r="O100" s="386"/>
    </row>
    <row r="101" spans="8:15" ht="15" customHeight="1" x14ac:dyDescent="0.3">
      <c r="H101" s="386"/>
      <c r="I101" s="386"/>
      <c r="J101" s="386"/>
      <c r="K101" s="386"/>
      <c r="L101" s="386"/>
      <c r="M101" s="386"/>
      <c r="N101" s="386"/>
      <c r="O101" s="386"/>
    </row>
  </sheetData>
  <mergeCells count="9">
    <mergeCell ref="E67:G67"/>
    <mergeCell ref="E68:G68"/>
    <mergeCell ref="A64:G64"/>
    <mergeCell ref="E65:G65"/>
    <mergeCell ref="E66:G66"/>
    <mergeCell ref="A1:AC1"/>
    <mergeCell ref="Q2:AC2"/>
    <mergeCell ref="A35:K35"/>
    <mergeCell ref="A2:M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T64:U64 T76:U76 T74:U74 T70:U70 T68:U68 T66:U66 T65:U65 T69:U69 T63:U63" evalError="1"/>
    <ignoredError sqref="T73:U73 T72:U72" evalError="1" formulaRange="1"/>
    <ignoredError sqref="I5 AA61" formula="1"/>
    <ignoredError sqref="V69:Z69 V72:X72 V71:Z71 V70:Z70 AB72 AA70 AA71:AB71 AA69:AB69 AB70:AE70 AC69:AE69 AA72 AC71:AE71 AC72:AE72 AF69:AF7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 x14ac:dyDescent="0.3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33203125" style="86" customWidth="1"/>
    <col min="13" max="13" width="12.5546875" style="86" customWidth="1"/>
    <col min="14" max="16384" width="9.109375" style="86"/>
  </cols>
  <sheetData>
    <row r="1" spans="1:13" x14ac:dyDescent="0.3">
      <c r="A1" s="498" t="s">
        <v>197</v>
      </c>
      <c r="B1" s="498"/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</row>
    <row r="2" spans="1:13" x14ac:dyDescent="0.3">
      <c r="A2" s="121" t="s">
        <v>170</v>
      </c>
    </row>
    <row r="3" spans="1:13" s="121" customFormat="1" ht="15" thickBot="1" x14ac:dyDescent="0.35">
      <c r="B3" s="113" t="s">
        <v>169</v>
      </c>
      <c r="C3" s="113" t="s">
        <v>169</v>
      </c>
      <c r="D3" s="113" t="s">
        <v>169</v>
      </c>
      <c r="E3" s="113" t="s">
        <v>169</v>
      </c>
      <c r="F3" s="113"/>
      <c r="I3" s="113" t="s">
        <v>169</v>
      </c>
      <c r="J3" s="113" t="s">
        <v>169</v>
      </c>
      <c r="K3" s="113" t="s">
        <v>169</v>
      </c>
      <c r="L3" s="113" t="s">
        <v>169</v>
      </c>
      <c r="M3" s="113"/>
    </row>
    <row r="4" spans="1:13" ht="43.8" thickBot="1" x14ac:dyDescent="0.35">
      <c r="A4" s="120" t="s">
        <v>130</v>
      </c>
      <c r="B4" s="111" t="s">
        <v>198</v>
      </c>
      <c r="C4" s="111" t="s">
        <v>199</v>
      </c>
      <c r="D4" s="111" t="s">
        <v>200</v>
      </c>
      <c r="E4" s="111" t="s">
        <v>201</v>
      </c>
      <c r="F4" s="110"/>
      <c r="H4" s="120" t="s">
        <v>129</v>
      </c>
      <c r="I4" s="111" t="s">
        <v>198</v>
      </c>
      <c r="J4" s="111" t="s">
        <v>199</v>
      </c>
      <c r="K4" s="111" t="s">
        <v>200</v>
      </c>
      <c r="L4" s="111" t="s">
        <v>211</v>
      </c>
      <c r="M4" s="110"/>
    </row>
    <row r="5" spans="1:13" x14ac:dyDescent="0.3">
      <c r="A5" s="92" t="s">
        <v>208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128</v>
      </c>
      <c r="I5" s="102">
        <f>Sheet!X6</f>
        <v>763.24200000000008</v>
      </c>
      <c r="J5" s="102">
        <v>345.47340100000002</v>
      </c>
      <c r="K5" s="102">
        <v>5720.8829999999998</v>
      </c>
      <c r="L5" s="102">
        <v>22759.4</v>
      </c>
      <c r="M5" s="101"/>
    </row>
    <row r="6" spans="1:13" x14ac:dyDescent="0.3">
      <c r="A6" s="92" t="s">
        <v>212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Sheet!X8/10</f>
        <v>8.3799999999999999E-2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 x14ac:dyDescent="0.3">
      <c r="A7" s="109" t="s">
        <v>117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Sheet!X9/10</f>
        <v>8.7409999999999997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 x14ac:dyDescent="0.3">
      <c r="A8" s="92"/>
      <c r="B8" s="119"/>
      <c r="C8" s="106"/>
      <c r="D8" s="106"/>
      <c r="E8" s="106"/>
      <c r="F8" s="105"/>
      <c r="H8" s="109" t="s">
        <v>42</v>
      </c>
      <c r="I8" s="117">
        <f>I6+I7</f>
        <v>8.8247999999999998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 x14ac:dyDescent="0.3">
      <c r="A9" s="92" t="s">
        <v>127</v>
      </c>
      <c r="B9" s="102"/>
      <c r="C9" s="102"/>
      <c r="D9" s="102"/>
      <c r="E9" s="102"/>
      <c r="F9" s="101"/>
      <c r="H9" s="109" t="s">
        <v>43</v>
      </c>
      <c r="I9" s="117">
        <f>(I10+I11-I17-I7)</f>
        <v>69.482600000000005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 x14ac:dyDescent="0.3">
      <c r="A10" s="92" t="s">
        <v>126</v>
      </c>
      <c r="B10" s="102"/>
      <c r="C10" s="102"/>
      <c r="D10" s="102"/>
      <c r="E10" s="102"/>
      <c r="F10" s="101"/>
      <c r="H10" s="92" t="s">
        <v>125</v>
      </c>
      <c r="I10" s="102">
        <f>Sheet!X15/10</f>
        <v>47.1736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 x14ac:dyDescent="0.3">
      <c r="A11" s="92"/>
      <c r="B11" s="106"/>
      <c r="C11" s="106"/>
      <c r="D11" s="118"/>
      <c r="E11" s="106"/>
      <c r="F11" s="105"/>
      <c r="H11" s="92" t="s">
        <v>124</v>
      </c>
      <c r="I11" s="102">
        <f>Sheet!X27/10</f>
        <v>70.836800000000011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 x14ac:dyDescent="0.3">
      <c r="A12" s="109" t="s">
        <v>202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123</v>
      </c>
      <c r="I12" s="102">
        <f>Sheet!X28/10</f>
        <v>0</v>
      </c>
      <c r="J12" s="102"/>
      <c r="K12" s="102"/>
      <c r="L12" s="102"/>
      <c r="M12" s="101"/>
    </row>
    <row r="13" spans="1:13" x14ac:dyDescent="0.3">
      <c r="A13" s="109" t="s">
        <v>213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122</v>
      </c>
      <c r="I13" s="102">
        <f>Sheet!W28/10</f>
        <v>0</v>
      </c>
      <c r="J13" s="102"/>
      <c r="K13" s="102"/>
      <c r="L13" s="102"/>
      <c r="M13" s="101"/>
    </row>
    <row r="14" spans="1:13" x14ac:dyDescent="0.3">
      <c r="A14" s="109" t="s">
        <v>117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217</v>
      </c>
      <c r="I14" s="102">
        <f>Sheet!X31/10</f>
        <v>58.027499999999996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 x14ac:dyDescent="0.3">
      <c r="A15" s="92"/>
      <c r="B15" s="106"/>
      <c r="C15" s="106"/>
      <c r="D15" s="106"/>
      <c r="E15" s="106"/>
      <c r="F15" s="105"/>
      <c r="H15" s="92" t="s">
        <v>121</v>
      </c>
      <c r="I15" s="102">
        <f>Sheet!W31/10</f>
        <v>48.748699999999999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 x14ac:dyDescent="0.3">
      <c r="A16" s="92" t="s">
        <v>203</v>
      </c>
      <c r="B16" s="102">
        <f>Sheet!H15</f>
        <v>12.41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120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 x14ac:dyDescent="0.3">
      <c r="A17" s="92" t="s">
        <v>204</v>
      </c>
      <c r="B17" s="102">
        <f>Sheet!H16</f>
        <v>16.010000000000002</v>
      </c>
      <c r="C17" s="102">
        <v>13.548296000000001</v>
      </c>
      <c r="D17" s="102">
        <v>122.89</v>
      </c>
      <c r="E17" s="102">
        <v>1668.01</v>
      </c>
      <c r="F17" s="101"/>
      <c r="H17" s="92" t="s">
        <v>119</v>
      </c>
      <c r="I17" s="102">
        <f>Sheet!X38/10</f>
        <v>39.786800000000007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 x14ac:dyDescent="0.3">
      <c r="A18" s="92"/>
      <c r="B18" s="102"/>
      <c r="C18" s="102"/>
      <c r="D18" s="102"/>
      <c r="E18" s="102"/>
      <c r="F18" s="101"/>
      <c r="H18" s="92" t="s">
        <v>218</v>
      </c>
      <c r="I18" s="102">
        <f>Sheet!Y40/10</f>
        <v>6.2890999999999995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 x14ac:dyDescent="0.3">
      <c r="A19" s="92" t="s">
        <v>214</v>
      </c>
      <c r="B19" s="102">
        <f>Sheet!F15</f>
        <v>7.6277590000000002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118</v>
      </c>
      <c r="I19" s="102">
        <f>Sheet!W40/10</f>
        <v>4.1716999999999995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 x14ac:dyDescent="0.35">
      <c r="A20" s="92" t="s">
        <v>215</v>
      </c>
      <c r="B20" s="102">
        <f>Sheet!F16</f>
        <v>10.279343000000001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22.309000000000005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 x14ac:dyDescent="0.3">
      <c r="A21" s="92"/>
      <c r="B21" s="102"/>
      <c r="C21" s="102"/>
      <c r="D21" s="102"/>
      <c r="E21" s="102"/>
      <c r="F21" s="101"/>
    </row>
    <row r="22" spans="1:13" x14ac:dyDescent="0.3">
      <c r="A22" s="92" t="s">
        <v>205</v>
      </c>
      <c r="B22" s="102">
        <f>Sheet!H19</f>
        <v>69.589999999999975</v>
      </c>
      <c r="C22" s="102">
        <v>-29.274135000000001</v>
      </c>
      <c r="D22" s="102">
        <v>829.74</v>
      </c>
      <c r="E22" s="102">
        <v>2796.5</v>
      </c>
      <c r="F22" s="101"/>
    </row>
    <row r="23" spans="1:13" x14ac:dyDescent="0.3">
      <c r="A23" s="92" t="s">
        <v>216</v>
      </c>
      <c r="B23" s="102">
        <f>Sheet!F19</f>
        <v>95.419016999999911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 x14ac:dyDescent="0.35">
      <c r="A24" s="92"/>
      <c r="B24" s="102"/>
      <c r="C24" s="102"/>
      <c r="D24" s="102"/>
      <c r="E24" s="102"/>
      <c r="F24" s="101"/>
      <c r="I24" s="113" t="s">
        <v>169</v>
      </c>
      <c r="J24" s="113" t="s">
        <v>169</v>
      </c>
      <c r="K24" s="113" t="s">
        <v>169</v>
      </c>
      <c r="L24" s="113" t="s">
        <v>169</v>
      </c>
      <c r="M24" s="113"/>
    </row>
    <row r="25" spans="1:13" ht="43.2" x14ac:dyDescent="0.3">
      <c r="A25" s="92" t="s">
        <v>206</v>
      </c>
      <c r="B25" s="102">
        <f>Sheet!H22</f>
        <v>71.82999999999997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198</v>
      </c>
      <c r="J25" s="111" t="s">
        <v>220</v>
      </c>
      <c r="K25" s="111" t="s">
        <v>200</v>
      </c>
      <c r="L25" s="111" t="s">
        <v>211</v>
      </c>
      <c r="M25" s="110"/>
    </row>
    <row r="26" spans="1:13" x14ac:dyDescent="0.3">
      <c r="A26" s="92" t="s">
        <v>219</v>
      </c>
      <c r="B26" s="102">
        <f>Sheet!F22</f>
        <v>77.741642999999911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>
        <f>Sheet!H57</f>
        <v>14784000</v>
      </c>
      <c r="J26" s="98">
        <v>79408926</v>
      </c>
      <c r="K26" s="229">
        <v>17096769</v>
      </c>
      <c r="L26" s="229">
        <v>147637945</v>
      </c>
      <c r="M26" s="97"/>
    </row>
    <row r="27" spans="1:13" x14ac:dyDescent="0.3">
      <c r="A27" s="109" t="s">
        <v>117</v>
      </c>
      <c r="B27" s="146">
        <f>Sheet!H24</f>
        <v>-3.877274643391182E-2</v>
      </c>
      <c r="C27" s="149">
        <f>(C25/C26)^(1/3)-1</f>
        <v>-1.7653394559979039</v>
      </c>
      <c r="D27" s="149">
        <f t="shared" ref="D27:E27" si="0">(D25/D26)^(1/3)-1</f>
        <v>-0.15305722580988934</v>
      </c>
      <c r="E27" s="149">
        <f t="shared" si="0"/>
        <v>-2.5245567365343407</v>
      </c>
      <c r="F27" s="149"/>
      <c r="H27" s="92" t="s">
        <v>74</v>
      </c>
      <c r="I27" s="100">
        <f>Sheet!H58/10</f>
        <v>57.657600000000002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 x14ac:dyDescent="0.3">
      <c r="A28" s="92"/>
      <c r="B28" s="106"/>
      <c r="C28" s="106"/>
      <c r="D28" s="106"/>
      <c r="E28" s="106"/>
      <c r="F28" s="105"/>
      <c r="H28" s="92" t="s">
        <v>77</v>
      </c>
      <c r="I28" s="100">
        <f>Sheet!G59/10</f>
        <v>7.1677999999999997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 x14ac:dyDescent="0.35">
      <c r="A29" s="89" t="s">
        <v>207</v>
      </c>
      <c r="B29" s="104">
        <f>Sheet!H30</f>
        <v>4.8600000000000003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>
        <f>Sheet!H60/10</f>
        <v>6.4766000000000004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 x14ac:dyDescent="0.3">
      <c r="H30" s="92" t="s">
        <v>76</v>
      </c>
      <c r="I30" s="100">
        <f>Sheet!H61/10</f>
        <v>60.005800000000008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 x14ac:dyDescent="0.3">
      <c r="H31" s="92" t="s">
        <v>51</v>
      </c>
      <c r="I31" s="102">
        <f>Sheet!Y59</f>
        <v>40</v>
      </c>
      <c r="J31" s="102">
        <v>21.95</v>
      </c>
      <c r="K31" s="102">
        <v>2258.35</v>
      </c>
      <c r="L31" s="102">
        <v>424.1</v>
      </c>
      <c r="M31" s="101"/>
    </row>
    <row r="32" spans="1:13" x14ac:dyDescent="0.3">
      <c r="H32" s="92" t="s">
        <v>52</v>
      </c>
      <c r="I32" s="100">
        <f>B29</f>
        <v>4.8600000000000003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 x14ac:dyDescent="0.3">
      <c r="H33" s="92" t="s">
        <v>53</v>
      </c>
      <c r="I33" s="100">
        <f>Sheet!Y61</f>
        <v>53.562770562770574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 x14ac:dyDescent="0.3">
      <c r="H34" s="92" t="s">
        <v>55</v>
      </c>
      <c r="I34" s="91">
        <f>Sheet!X63</f>
        <v>8.0246913580246915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 x14ac:dyDescent="0.3">
      <c r="H35" s="92" t="s">
        <v>56</v>
      </c>
      <c r="I35" s="91">
        <f>Sheet!Y64</f>
        <v>0.74678735957326425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 x14ac:dyDescent="0.3">
      <c r="H36" s="92" t="s">
        <v>57</v>
      </c>
      <c r="I36" s="91">
        <f>Sheet!Y65</f>
        <v>5.8990462830163031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 x14ac:dyDescent="0.3">
      <c r="H37" s="92" t="s">
        <v>58</v>
      </c>
      <c r="I37" s="94">
        <f>Sheet!X66</f>
        <v>9.4111697207438741E-2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 x14ac:dyDescent="0.3">
      <c r="H38" s="92" t="s">
        <v>59</v>
      </c>
      <c r="I38" s="94">
        <f>Sheet!X67</f>
        <v>0.10942947104401593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 x14ac:dyDescent="0.3">
      <c r="H39" s="92" t="s">
        <v>115</v>
      </c>
      <c r="I39" s="91">
        <f>I10/B5</f>
        <v>2.1634304058702133E-2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 x14ac:dyDescent="0.3">
      <c r="H40" s="92" t="s">
        <v>60</v>
      </c>
      <c r="I40" s="91">
        <f>Sheet!Y68</f>
        <v>9.6707548694738542E-3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 x14ac:dyDescent="0.3">
      <c r="H41" s="92" t="s">
        <v>61</v>
      </c>
      <c r="I41" s="91">
        <f>Sheet!Y69</f>
        <v>-8.5825739513456706E-2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 x14ac:dyDescent="0.3">
      <c r="H42" s="92" t="s">
        <v>116</v>
      </c>
      <c r="I42" s="147">
        <f>Sheet!Y62</f>
        <v>1</v>
      </c>
      <c r="J42" s="147">
        <v>2.5</v>
      </c>
      <c r="K42" s="147">
        <v>7.5</v>
      </c>
      <c r="L42" s="147">
        <v>0.5</v>
      </c>
      <c r="M42" s="148"/>
    </row>
    <row r="43" spans="8:13" x14ac:dyDescent="0.3">
      <c r="H43" s="92" t="s">
        <v>62</v>
      </c>
      <c r="I43" s="94">
        <f>Sheet!Y70</f>
        <v>2.5000000000000001E-2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 x14ac:dyDescent="0.3">
      <c r="H44" s="92" t="s">
        <v>63</v>
      </c>
      <c r="I44" s="96" t="e">
        <f>Sheet!Y71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 x14ac:dyDescent="0.3">
      <c r="H45" s="92" t="s">
        <v>64</v>
      </c>
      <c r="I45" s="96">
        <f>Sheet!Y72</f>
        <v>14.983562958589422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 x14ac:dyDescent="0.3">
      <c r="H46" s="92" t="s">
        <v>65</v>
      </c>
      <c r="I46" s="96" t="str">
        <f>Sheet!Y73</f>
        <v>-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 x14ac:dyDescent="0.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 x14ac:dyDescent="0.3">
      <c r="H48" s="92" t="s">
        <v>66</v>
      </c>
      <c r="I48" s="96" t="e">
        <f>Sheet!Y75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 x14ac:dyDescent="0.3">
      <c r="H49" s="92" t="s">
        <v>86</v>
      </c>
      <c r="I49" s="94" t="e">
        <f>Sheet!Y76</f>
        <v>#REF!</v>
      </c>
      <c r="J49" s="94">
        <f>C17/J8/10</f>
        <v>0.42671190948714682</v>
      </c>
      <c r="K49" s="94">
        <f t="shared" ref="K49:L49" si="1">D17/K8/10</f>
        <v>0.16120061599649499</v>
      </c>
      <c r="L49" s="94">
        <f t="shared" si="1"/>
        <v>0.16719776028515668</v>
      </c>
      <c r="M49" s="93"/>
    </row>
    <row r="50" spans="8:13" ht="15" thickBot="1" x14ac:dyDescent="0.35">
      <c r="H50" s="89" t="s">
        <v>114</v>
      </c>
      <c r="I50" s="88">
        <f>Sheet!Y77</f>
        <v>9.8522727272727373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 x14ac:dyDescent="0.3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 x14ac:dyDescent="0.35">
      <c r="A1" s="499" t="s">
        <v>209</v>
      </c>
      <c r="B1" s="500"/>
      <c r="C1" s="500"/>
      <c r="D1" s="500"/>
      <c r="E1" s="500"/>
      <c r="F1" s="500"/>
      <c r="G1" s="500"/>
      <c r="H1" s="500"/>
      <c r="I1" s="501"/>
    </row>
    <row r="2" spans="1:9" s="144" customFormat="1" ht="28.8" x14ac:dyDescent="0.3">
      <c r="A2" s="502" t="s">
        <v>156</v>
      </c>
      <c r="B2" s="111" t="s">
        <v>198</v>
      </c>
      <c r="C2" s="111" t="s">
        <v>198</v>
      </c>
      <c r="D2" s="111" t="s">
        <v>210</v>
      </c>
      <c r="E2" s="111" t="s">
        <v>210</v>
      </c>
      <c r="F2" s="111" t="s">
        <v>200</v>
      </c>
      <c r="G2" s="111" t="s">
        <v>200</v>
      </c>
      <c r="H2" s="111" t="s">
        <v>211</v>
      </c>
      <c r="I2" s="111" t="s">
        <v>211</v>
      </c>
    </row>
    <row r="3" spans="1:9" s="144" customFormat="1" ht="31.2" x14ac:dyDescent="0.3">
      <c r="A3" s="503"/>
      <c r="B3" s="145" t="s">
        <v>225</v>
      </c>
      <c r="C3" s="145" t="s">
        <v>226</v>
      </c>
      <c r="D3" s="145" t="s">
        <v>225</v>
      </c>
      <c r="E3" s="145" t="s">
        <v>226</v>
      </c>
      <c r="F3" s="145" t="s">
        <v>225</v>
      </c>
      <c r="G3" s="145" t="s">
        <v>226</v>
      </c>
      <c r="H3" s="145" t="s">
        <v>225</v>
      </c>
      <c r="I3" s="145" t="s">
        <v>226</v>
      </c>
    </row>
    <row r="4" spans="1:9" ht="15.6" x14ac:dyDescent="0.3">
      <c r="A4" s="129" t="s">
        <v>155</v>
      </c>
      <c r="B4" s="143"/>
      <c r="C4" s="143"/>
      <c r="D4" s="143"/>
      <c r="E4" s="143"/>
      <c r="F4" s="142"/>
      <c r="G4" s="142"/>
      <c r="H4" s="142"/>
      <c r="I4" s="142"/>
    </row>
    <row r="5" spans="1:9" x14ac:dyDescent="0.3">
      <c r="A5" s="129" t="s">
        <v>130</v>
      </c>
      <c r="B5" s="126"/>
      <c r="C5" s="126"/>
      <c r="D5" s="126"/>
      <c r="E5" s="126"/>
      <c r="F5" s="130"/>
      <c r="G5" s="130"/>
      <c r="H5" s="130"/>
      <c r="I5" s="130"/>
    </row>
    <row r="6" spans="1:9" x14ac:dyDescent="0.3">
      <c r="A6" s="126" t="s">
        <v>112</v>
      </c>
      <c r="B6" s="117">
        <f>Sheet!I4</f>
        <v>2017.856</v>
      </c>
      <c r="C6" s="117">
        <f>Sheet!J4</f>
        <v>2885.471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 x14ac:dyDescent="0.3">
      <c r="A7" s="126" t="s">
        <v>153</v>
      </c>
      <c r="B7" s="237">
        <f>Sheet!I6</f>
        <v>5.1663774413412078E-2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 x14ac:dyDescent="0.3">
      <c r="A8" s="129" t="s">
        <v>4</v>
      </c>
      <c r="B8" s="236">
        <f>Sheet!I10</f>
        <v>95.520999999999958</v>
      </c>
      <c r="C8" s="236">
        <f>Sheet!J10</f>
        <v>127.26699999999983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 x14ac:dyDescent="0.3">
      <c r="A9" s="126" t="s">
        <v>153</v>
      </c>
      <c r="B9" s="237">
        <f>Sheet!I12</f>
        <v>-8.6139806975864541E-3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 x14ac:dyDescent="0.3">
      <c r="A10" s="129" t="s">
        <v>154</v>
      </c>
      <c r="B10" s="233">
        <f>Sheet!I13</f>
        <v>4.7337867518792202E-2</v>
      </c>
      <c r="C10" s="253">
        <f>Sheet!J13</f>
        <v>4.4106144196216085E-2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 x14ac:dyDescent="0.3">
      <c r="A11" s="129" t="s">
        <v>13</v>
      </c>
      <c r="B11" s="235">
        <f>Sheet!I22</f>
        <v>104.60199999999996</v>
      </c>
      <c r="C11" s="235">
        <f>Sheet!J22</f>
        <v>120.67399999999985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 x14ac:dyDescent="0.3">
      <c r="A12" s="126" t="s">
        <v>153</v>
      </c>
      <c r="B12" s="234">
        <f>Sheet!I24</f>
        <v>0.10398225098394298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 x14ac:dyDescent="0.3">
      <c r="A13" s="129" t="s">
        <v>152</v>
      </c>
      <c r="B13" s="233">
        <f>+B11/B$6</f>
        <v>5.1838188651717444E-2</v>
      </c>
      <c r="C13" s="233">
        <f>Sheet!J23</f>
        <v>4.1821248593383833E-2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 x14ac:dyDescent="0.3">
      <c r="A14" s="126" t="s">
        <v>16</v>
      </c>
      <c r="B14" s="252">
        <f>Sheet!I30</f>
        <v>7.08</v>
      </c>
      <c r="C14" s="252">
        <f>Sheet!J30</f>
        <v>8.16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 x14ac:dyDescent="0.3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 x14ac:dyDescent="0.3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 x14ac:dyDescent="0.3">
      <c r="A17" s="129" t="s">
        <v>151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 x14ac:dyDescent="0.3">
      <c r="A18" s="129" t="s">
        <v>150</v>
      </c>
      <c r="B18" s="235">
        <f>Sheet!AA6</f>
        <v>850.72</v>
      </c>
      <c r="C18" s="235">
        <f>Sheet!AB6</f>
        <v>946.89100000000008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 x14ac:dyDescent="0.3">
      <c r="A19" s="129" t="s">
        <v>77</v>
      </c>
      <c r="B19" s="254">
        <f>Sheet!AA10</f>
        <v>35.26</v>
      </c>
      <c r="C19" s="254">
        <f>Sheet!AB10</f>
        <v>64.302999999999997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 x14ac:dyDescent="0.3">
      <c r="A20" s="136" t="s">
        <v>149</v>
      </c>
      <c r="B20" s="226">
        <f>Sheet!AA8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221</v>
      </c>
      <c r="H20" s="118">
        <v>543.07000000000005</v>
      </c>
      <c r="I20" s="118">
        <v>332.38</v>
      </c>
    </row>
    <row r="21" spans="1:9" x14ac:dyDescent="0.3">
      <c r="A21" s="136" t="s">
        <v>148</v>
      </c>
      <c r="B21" s="231">
        <f>Sheet!AA9</f>
        <v>35.26</v>
      </c>
      <c r="C21" s="231">
        <f>Sheet!AB9</f>
        <v>64.302999999999997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221</v>
      </c>
      <c r="H21" s="118">
        <v>4613.92</v>
      </c>
      <c r="I21" s="118">
        <v>6584.44</v>
      </c>
    </row>
    <row r="22" spans="1:9" x14ac:dyDescent="0.3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 x14ac:dyDescent="0.3">
      <c r="A23" s="129" t="s">
        <v>147</v>
      </c>
      <c r="B23" s="129"/>
      <c r="C23" s="129"/>
      <c r="D23" s="129"/>
      <c r="E23" s="129"/>
      <c r="F23" s="129"/>
      <c r="G23" s="129"/>
      <c r="H23" s="129"/>
      <c r="I23" s="129"/>
    </row>
    <row r="24" spans="1:9" x14ac:dyDescent="0.3">
      <c r="A24" s="126" t="s">
        <v>146</v>
      </c>
      <c r="B24" s="258">
        <f>Sheet!I38</f>
        <v>169.65199999999999</v>
      </c>
      <c r="C24" s="266">
        <f>Sheet!J38</f>
        <v>-104.101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 x14ac:dyDescent="0.3">
      <c r="A25" s="126" t="s">
        <v>29</v>
      </c>
      <c r="B25" s="259">
        <f>Sheet!I53</f>
        <v>166.17699999999999</v>
      </c>
      <c r="C25" s="262">
        <f>Sheet!J53</f>
        <v>-113.59099999999999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 x14ac:dyDescent="0.3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 x14ac:dyDescent="0.25">
      <c r="A27" s="106" t="s">
        <v>73</v>
      </c>
      <c r="B27" s="263">
        <f>'Peer Analysis working'!I26</f>
        <v>14784000</v>
      </c>
      <c r="C27" s="263">
        <f>Sheet!J57</f>
        <v>14784000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 x14ac:dyDescent="0.3">
      <c r="A28" s="129" t="s">
        <v>74</v>
      </c>
      <c r="B28" s="264">
        <f>Sheet!I58</f>
        <v>764.33280000000002</v>
      </c>
      <c r="C28" s="264">
        <f>Sheet!J58</f>
        <v>1713.4656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 x14ac:dyDescent="0.3">
      <c r="A29" s="129" t="s">
        <v>145</v>
      </c>
      <c r="B29" s="260">
        <f>Sheet!I61</f>
        <v>563.4828</v>
      </c>
      <c r="C29" s="264">
        <f>Sheet!J61</f>
        <v>1705.1665999999998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 x14ac:dyDescent="0.3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 x14ac:dyDescent="0.3">
      <c r="A31" s="126" t="s">
        <v>144</v>
      </c>
      <c r="B31" s="232">
        <f>Sheet!AA63</f>
        <v>7.3022598870056497</v>
      </c>
      <c r="C31" s="232">
        <f>Sheet!AB63</f>
        <v>14.203431372549019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 x14ac:dyDescent="0.3">
      <c r="A32" s="126" t="s">
        <v>62</v>
      </c>
      <c r="B32" s="255">
        <f>Sheet!AA70</f>
        <v>1.9342359767891681E-2</v>
      </c>
      <c r="C32" s="255">
        <f>Sheet!AB70</f>
        <v>4.3140638481449526E-3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 x14ac:dyDescent="0.3">
      <c r="A33" s="126" t="s">
        <v>143</v>
      </c>
      <c r="B33" s="232">
        <f>Sheet!AA64</f>
        <v>0.89845401542223069</v>
      </c>
      <c r="C33" s="232">
        <f>Sheet!AB64</f>
        <v>1.8095700561099428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 x14ac:dyDescent="0.3">
      <c r="A34" s="126" t="s">
        <v>142</v>
      </c>
      <c r="B34" s="232">
        <f>Sheet!AA65</f>
        <v>8.2067476813082436</v>
      </c>
      <c r="C34" s="265">
        <f>Sheet!AB65</f>
        <v>13.398340496750942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 x14ac:dyDescent="0.3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 x14ac:dyDescent="0.3">
      <c r="A36" s="129" t="s">
        <v>141</v>
      </c>
      <c r="B36" s="129"/>
      <c r="C36" s="129"/>
      <c r="D36" s="129"/>
      <c r="E36" s="129"/>
      <c r="F36" s="129"/>
      <c r="G36" s="129"/>
      <c r="H36" s="129"/>
      <c r="I36" s="129"/>
    </row>
    <row r="37" spans="1:9" x14ac:dyDescent="0.3">
      <c r="A37" s="129" t="s">
        <v>227</v>
      </c>
      <c r="B37" s="252">
        <f>Sheet!AA59</f>
        <v>51.7</v>
      </c>
      <c r="C37" s="252">
        <f>Sheet!AB59</f>
        <v>115.9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 x14ac:dyDescent="0.3">
      <c r="A38" s="126" t="s">
        <v>157</v>
      </c>
      <c r="B38" s="252">
        <f>B18</f>
        <v>850.72</v>
      </c>
      <c r="C38" s="252">
        <f>C18</f>
        <v>946.89100000000008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 x14ac:dyDescent="0.3">
      <c r="A39" s="126" t="s">
        <v>140</v>
      </c>
      <c r="B39" s="252">
        <f>Sheet!AA61</f>
        <v>57.543290043290042</v>
      </c>
      <c r="C39" s="252">
        <f>Sheet!AB61</f>
        <v>64.048363095238102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 x14ac:dyDescent="0.3">
      <c r="A40" s="126" t="s">
        <v>139</v>
      </c>
      <c r="B40" s="108">
        <f>Sheet!AA66</f>
        <v>0.12295702463795369</v>
      </c>
      <c r="C40" s="125">
        <f>Sheet!AB66</f>
        <v>0.12744233496780499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 x14ac:dyDescent="0.3">
      <c r="A41" s="126" t="s">
        <v>138</v>
      </c>
      <c r="B41" s="108">
        <f>Sheet!AA67</f>
        <v>0.12542820563097609</v>
      </c>
      <c r="C41" s="125">
        <f>Sheet!AB67</f>
        <v>0.12113505568666404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 x14ac:dyDescent="0.3">
      <c r="A42" s="126" t="s">
        <v>137</v>
      </c>
      <c r="B42" s="227">
        <f>'Peer Analysis working'!I39</f>
        <v>2.1634304058702133E-2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 x14ac:dyDescent="0.3">
      <c r="A43" s="126" t="s">
        <v>136</v>
      </c>
      <c r="B43" s="256">
        <f>Sheet!AA71</f>
        <v>84.206742825057887</v>
      </c>
      <c r="C43" s="228">
        <f>Sheet!AB71</f>
        <v>85.027765830950997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 x14ac:dyDescent="0.3">
      <c r="A44" s="126" t="s">
        <v>65</v>
      </c>
      <c r="B44" s="268" t="str">
        <f>Sheet!X73</f>
        <v>-</v>
      </c>
      <c r="C44" s="268" t="s">
        <v>221</v>
      </c>
      <c r="D44" s="251" t="s">
        <v>221</v>
      </c>
      <c r="E44" s="127"/>
      <c r="F44" s="251" t="s">
        <v>221</v>
      </c>
      <c r="G44" s="127"/>
      <c r="H44" s="251" t="s">
        <v>221</v>
      </c>
      <c r="I44" s="127"/>
    </row>
    <row r="45" spans="1:9" x14ac:dyDescent="0.3">
      <c r="A45" s="126" t="s">
        <v>135</v>
      </c>
      <c r="B45" s="228">
        <f>Sheet!AA72</f>
        <v>5.4129455534539836</v>
      </c>
      <c r="C45" s="228">
        <f>Sheet!AB72</f>
        <v>14.824733982370397</v>
      </c>
      <c r="D45" s="251" t="s">
        <v>221</v>
      </c>
      <c r="E45" s="127"/>
      <c r="F45" s="251" t="s">
        <v>221</v>
      </c>
      <c r="G45" s="127"/>
      <c r="H45" s="251" t="s">
        <v>221</v>
      </c>
      <c r="I45" s="127"/>
    </row>
    <row r="46" spans="1:9" x14ac:dyDescent="0.3">
      <c r="A46" s="126" t="s">
        <v>134</v>
      </c>
      <c r="B46" s="256">
        <f>Sheet!AA74</f>
        <v>78.793797271603907</v>
      </c>
      <c r="C46" s="228">
        <f>Sheet!AB74</f>
        <v>70.203031848580594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 x14ac:dyDescent="0.3">
      <c r="A47" s="126" t="s">
        <v>66</v>
      </c>
      <c r="B47" s="257">
        <f>Sheet!AA75</f>
        <v>80.822699934980491</v>
      </c>
      <c r="C47" s="228">
        <f>Sheet!AB75</f>
        <v>86.49552668773191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 x14ac:dyDescent="0.3">
      <c r="A48" s="126" t="s">
        <v>133</v>
      </c>
      <c r="B48" s="232">
        <f>Sheet!AA68</f>
        <v>4.1447244686853485E-2</v>
      </c>
      <c r="C48" s="232">
        <f>Sheet!AB68</f>
        <v>6.7909611560359101E-2</v>
      </c>
      <c r="D48" s="128">
        <v>0.19</v>
      </c>
      <c r="E48" s="128">
        <v>0.19</v>
      </c>
      <c r="F48" s="128">
        <v>0.06</v>
      </c>
      <c r="G48" s="261" t="s">
        <v>221</v>
      </c>
      <c r="H48" s="128">
        <v>0.4</v>
      </c>
      <c r="I48" s="128">
        <v>0.28999999999999998</v>
      </c>
    </row>
    <row r="49" spans="1:9" x14ac:dyDescent="0.3">
      <c r="A49" s="126" t="s">
        <v>132</v>
      </c>
      <c r="B49" s="232">
        <f>Sheet!AA69</f>
        <v>-0.23609413202933988</v>
      </c>
      <c r="C49" s="232">
        <f>Sheet!AB69</f>
        <v>-8.7644723627112366E-3</v>
      </c>
      <c r="D49" s="128">
        <v>0.19</v>
      </c>
      <c r="E49" s="128">
        <v>0.14000000000000001</v>
      </c>
      <c r="F49" s="128">
        <v>0.06</v>
      </c>
      <c r="G49" s="261" t="s">
        <v>221</v>
      </c>
      <c r="H49" s="128">
        <v>0.4</v>
      </c>
      <c r="I49" s="128">
        <v>0.12</v>
      </c>
    </row>
    <row r="50" spans="1:9" x14ac:dyDescent="0.3">
      <c r="A50" s="126" t="s">
        <v>114</v>
      </c>
      <c r="B50" s="252">
        <f>Sheet!AA77</f>
        <v>19.19255206494881</v>
      </c>
      <c r="C50" s="252">
        <f>Sheet!AB77</f>
        <v>17.615069055107323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 x14ac:dyDescent="0.3">
      <c r="A51" s="126" t="s">
        <v>131</v>
      </c>
      <c r="B51" s="108">
        <f>Sheet!AA76</f>
        <v>0.16069200226885991</v>
      </c>
      <c r="C51" s="267">
        <f>Sheet!AB76</f>
        <v>0.11372719779792545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Sheet</vt:lpstr>
      <vt:lpstr>Peer Analysis working</vt:lpstr>
      <vt:lpstr>Peer Analysis Final</vt:lpstr>
      <vt:lpstr>'Peer Analysis Final'!Print_Area</vt:lpstr>
      <vt:lpstr>Sheet!Print_Area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2021-02-17T05:19:03Z</cp:lastPrinted>
  <dcterms:created xsi:type="dcterms:W3CDTF">2017-09-19T08:05:47Z</dcterms:created>
  <dcterms:modified xsi:type="dcterms:W3CDTF">2026-08-19T12:00:20Z</dcterms:modified>
</cp:coreProperties>
</file>