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06BB780A-ACDB-4B12-9069-B9E8D50E0E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3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5" i="1" l="1"/>
  <c r="Z62" i="1"/>
  <c r="AA60" i="1"/>
  <c r="Z60" i="1"/>
  <c r="L59" i="1"/>
  <c r="M59" i="1" s="1"/>
  <c r="L56" i="1"/>
  <c r="M56" i="1" s="1"/>
  <c r="M14" i="1"/>
  <c r="M11" i="1"/>
  <c r="M9" i="1"/>
  <c r="M8" i="1"/>
  <c r="M5" i="1"/>
  <c r="M15" i="1" l="1"/>
  <c r="M18" i="1" s="1"/>
  <c r="H59" i="1"/>
  <c r="I59" i="1"/>
  <c r="J59" i="1"/>
  <c r="K36" i="1"/>
  <c r="L35" i="1"/>
  <c r="K35" i="1"/>
  <c r="K28" i="1"/>
  <c r="C59" i="1"/>
  <c r="D59" i="1"/>
  <c r="E59" i="1"/>
  <c r="F59" i="1"/>
  <c r="G59" i="1"/>
  <c r="K59" i="1"/>
  <c r="B59" i="1"/>
  <c r="H50" i="1"/>
  <c r="I50" i="1"/>
  <c r="J50" i="1"/>
  <c r="K50" i="1"/>
  <c r="L50" i="1"/>
  <c r="Y27" i="1"/>
  <c r="X27" i="1"/>
  <c r="W27" i="1"/>
  <c r="V27" i="1"/>
  <c r="V53" i="1" s="1"/>
  <c r="U27" i="1"/>
  <c r="X12" i="1"/>
  <c r="W12" i="1"/>
  <c r="V12" i="1"/>
  <c r="U12" i="1"/>
  <c r="U6" i="1"/>
  <c r="I58" i="1"/>
  <c r="J58" i="1"/>
  <c r="K58" i="1"/>
  <c r="L58" i="1"/>
  <c r="M58" i="1" s="1"/>
  <c r="H58" i="1"/>
  <c r="I57" i="1"/>
  <c r="J57" i="1"/>
  <c r="K57" i="1"/>
  <c r="L57" i="1"/>
  <c r="M57" i="1" s="1"/>
  <c r="M60" i="1" s="1"/>
  <c r="H57" i="1"/>
  <c r="I56" i="1"/>
  <c r="H56" i="1"/>
  <c r="V72" i="1"/>
  <c r="V71" i="1"/>
  <c r="L54" i="1"/>
  <c r="L55" i="1" s="1"/>
  <c r="L45" i="1"/>
  <c r="K45" i="1"/>
  <c r="K55" i="1"/>
  <c r="J55" i="1"/>
  <c r="I55" i="1"/>
  <c r="H55" i="1"/>
  <c r="V60" i="1"/>
  <c r="V62" i="1" s="1"/>
  <c r="W60" i="1"/>
  <c r="W62" i="1" s="1"/>
  <c r="X60" i="1"/>
  <c r="X62" i="1" s="1"/>
  <c r="Y60" i="1"/>
  <c r="Y62" i="1" s="1"/>
  <c r="U60" i="1"/>
  <c r="U62" i="1" s="1"/>
  <c r="I35" i="1"/>
  <c r="M23" i="1" l="1"/>
  <c r="M25" i="1" s="1"/>
  <c r="L60" i="1"/>
  <c r="U69" i="1"/>
  <c r="U68" i="1"/>
  <c r="U61" i="1"/>
  <c r="U63" i="1" s="1"/>
  <c r="J45" i="1"/>
  <c r="I45" i="1"/>
  <c r="K46" i="1"/>
  <c r="L36" i="1"/>
  <c r="M26" i="1" l="1"/>
  <c r="M28" i="1" s="1"/>
  <c r="M33" i="1" s="1"/>
  <c r="H45" i="1"/>
  <c r="H46" i="1" s="1"/>
  <c r="K32" i="1"/>
  <c r="I8" i="1"/>
  <c r="M29" i="1" l="1"/>
  <c r="H24" i="1"/>
  <c r="J24" i="1"/>
  <c r="I24" i="1"/>
  <c r="K24" i="1"/>
  <c r="K56" i="1"/>
  <c r="K60" i="1" s="1"/>
  <c r="J56" i="1"/>
  <c r="V43" i="1"/>
  <c r="V39" i="1" s="1"/>
  <c r="U43" i="1"/>
  <c r="U39" i="1" s="1"/>
  <c r="U52" i="1" s="1"/>
  <c r="W43" i="1"/>
  <c r="W39" i="1" s="1"/>
  <c r="X45" i="1"/>
  <c r="X43" i="1"/>
  <c r="X42" i="1"/>
  <c r="X49" i="1"/>
  <c r="Y49" i="1"/>
  <c r="Y43" i="1"/>
  <c r="Y45" i="1"/>
  <c r="Y23" i="1"/>
  <c r="Y18" i="1"/>
  <c r="K49" i="1"/>
  <c r="L49" i="1"/>
  <c r="L51" i="1" s="1"/>
  <c r="W72" i="1"/>
  <c r="X72" i="1"/>
  <c r="Y72" i="1"/>
  <c r="Y39" i="1" l="1"/>
  <c r="X39" i="1"/>
  <c r="Y12" i="1"/>
  <c r="V73" i="1"/>
  <c r="V52" i="1"/>
  <c r="I49" i="1" l="1"/>
  <c r="I51" i="1" s="1"/>
  <c r="J49" i="1"/>
  <c r="J51" i="1" s="1"/>
  <c r="K51" i="1"/>
  <c r="H49" i="1"/>
  <c r="Y73" i="1" l="1"/>
  <c r="H51" i="1"/>
  <c r="Y6" i="1" l="1"/>
  <c r="L5" i="1"/>
  <c r="Y69" i="1" l="1"/>
  <c r="Y68" i="1"/>
  <c r="Y65" i="1"/>
  <c r="Y70" i="1"/>
  <c r="Y53" i="1"/>
  <c r="Y46" i="1"/>
  <c r="Y54" i="1" s="1"/>
  <c r="L8" i="1"/>
  <c r="K8" i="1"/>
  <c r="K5" i="1"/>
  <c r="K29" i="1" l="1"/>
  <c r="L6" i="1"/>
  <c r="Y7" i="1"/>
  <c r="Y52" i="1"/>
  <c r="L15" i="1"/>
  <c r="X70" i="1"/>
  <c r="X65" i="1"/>
  <c r="K15" i="1"/>
  <c r="X46" i="1"/>
  <c r="U46" i="1"/>
  <c r="T46" i="1"/>
  <c r="S46" i="1"/>
  <c r="R46" i="1"/>
  <c r="P46" i="1"/>
  <c r="Y71" i="1"/>
  <c r="Y67" i="1" l="1"/>
  <c r="L16" i="1"/>
  <c r="X9" i="1"/>
  <c r="X64" i="1"/>
  <c r="L23" i="1"/>
  <c r="L25" i="1" s="1"/>
  <c r="L18" i="1"/>
  <c r="K18" i="1"/>
  <c r="K23" i="1"/>
  <c r="K25" i="1" s="1"/>
  <c r="L26" i="1" l="1"/>
  <c r="L28" i="1" s="1"/>
  <c r="L30" i="1" l="1"/>
  <c r="L29" i="1"/>
  <c r="K33" i="1"/>
  <c r="X73" i="1"/>
  <c r="X53" i="1" l="1"/>
  <c r="X6" i="1"/>
  <c r="W6" i="1"/>
  <c r="W69" i="1" l="1"/>
  <c r="W68" i="1"/>
  <c r="X69" i="1"/>
  <c r="X68" i="1"/>
  <c r="X54" i="1"/>
  <c r="X7" i="1"/>
  <c r="X52" i="1"/>
  <c r="X67" i="1" s="1"/>
  <c r="X61" i="1"/>
  <c r="X63" i="1" s="1"/>
  <c r="X66" i="1"/>
  <c r="Y61" i="1" l="1"/>
  <c r="Y63" i="1" s="1"/>
  <c r="Y9" i="1" l="1"/>
  <c r="Y64" i="1"/>
  <c r="V6" i="1"/>
  <c r="V68" i="1" l="1"/>
  <c r="V69" i="1"/>
  <c r="G55" i="1"/>
  <c r="I40" i="1"/>
  <c r="I46" i="1" s="1"/>
  <c r="J40" i="1" s="1"/>
  <c r="J5" i="1"/>
  <c r="I5" i="1"/>
  <c r="V70" i="1" l="1"/>
  <c r="L7" i="1"/>
  <c r="J6" i="1"/>
  <c r="K6" i="1"/>
  <c r="J46" i="1"/>
  <c r="L40" i="1" s="1"/>
  <c r="L46" i="1" s="1"/>
  <c r="W70" i="1"/>
  <c r="V61" i="1"/>
  <c r="V63" i="1" s="1"/>
  <c r="V65" i="1"/>
  <c r="I15" i="1"/>
  <c r="W65" i="1"/>
  <c r="J8" i="1"/>
  <c r="J15" i="1" s="1"/>
  <c r="K16" i="1" l="1"/>
  <c r="J16" i="1"/>
  <c r="I23" i="1"/>
  <c r="I25" i="1" s="1"/>
  <c r="L17" i="1"/>
  <c r="X71" i="1"/>
  <c r="W71" i="1"/>
  <c r="V46" i="1"/>
  <c r="W46" i="1"/>
  <c r="J23" i="1"/>
  <c r="I18" i="1"/>
  <c r="W61" i="1"/>
  <c r="W63" i="1" s="1"/>
  <c r="W73" i="1"/>
  <c r="I26" i="1" l="1"/>
  <c r="V54" i="1"/>
  <c r="J26" i="1"/>
  <c r="J25" i="1"/>
  <c r="J28" i="1"/>
  <c r="J18" i="1"/>
  <c r="I28" i="1"/>
  <c r="W53" i="1"/>
  <c r="B4" i="3"/>
  <c r="F4" i="3" s="1"/>
  <c r="K2" i="3"/>
  <c r="K5" i="3"/>
  <c r="K6" i="3"/>
  <c r="K7" i="3"/>
  <c r="K8" i="3"/>
  <c r="K9" i="3"/>
  <c r="K10" i="3"/>
  <c r="K12" i="3"/>
  <c r="K13" i="3"/>
  <c r="K1" i="3"/>
  <c r="F3" i="3"/>
  <c r="I3" i="3"/>
  <c r="K3" i="3" s="1"/>
  <c r="I11" i="3"/>
  <c r="K11" i="3" s="1"/>
  <c r="F6" i="3"/>
  <c r="F7" i="3"/>
  <c r="F8" i="3"/>
  <c r="F9" i="3"/>
  <c r="F10" i="3"/>
  <c r="F11" i="3"/>
  <c r="F13" i="3"/>
  <c r="F14" i="3"/>
  <c r="F2" i="3"/>
  <c r="D6" i="3"/>
  <c r="D7" i="3"/>
  <c r="D8" i="3"/>
  <c r="D9" i="3"/>
  <c r="D10" i="3"/>
  <c r="D11" i="3"/>
  <c r="D13" i="3"/>
  <c r="D14" i="3"/>
  <c r="D2" i="3"/>
  <c r="B12" i="3"/>
  <c r="D12" i="3" s="1"/>
  <c r="W54" i="1"/>
  <c r="K30" i="1" l="1"/>
  <c r="W52" i="1"/>
  <c r="W67" i="1" s="1"/>
  <c r="W7" i="1"/>
  <c r="I33" i="1"/>
  <c r="L31" i="1"/>
  <c r="J33" i="1"/>
  <c r="B5" i="3"/>
  <c r="F5" i="3" s="1"/>
  <c r="V66" i="1"/>
  <c r="J30" i="1"/>
  <c r="J60" i="1"/>
  <c r="W66" i="1"/>
  <c r="J29" i="1"/>
  <c r="I29" i="1"/>
  <c r="F12" i="3"/>
  <c r="D5" i="3"/>
  <c r="I4" i="3"/>
  <c r="K4" i="3" s="1"/>
  <c r="D4" i="3"/>
  <c r="D3" i="3"/>
  <c r="W9" i="1" l="1"/>
  <c r="W64" i="1"/>
  <c r="J35" i="1"/>
  <c r="I60" i="1" l="1"/>
  <c r="D58" i="1"/>
  <c r="E58" i="1"/>
  <c r="F58" i="1"/>
  <c r="G58" i="1"/>
  <c r="C58" i="1"/>
  <c r="V7" i="1" l="1"/>
  <c r="V64" i="1"/>
  <c r="V9" i="1"/>
  <c r="V67" i="1"/>
  <c r="D57" i="1"/>
  <c r="E57" i="1"/>
  <c r="F57" i="1"/>
  <c r="G57" i="1"/>
  <c r="C57" i="1"/>
  <c r="D56" i="1"/>
  <c r="E56" i="1"/>
  <c r="F56" i="1"/>
  <c r="G56" i="1"/>
  <c r="C56" i="1"/>
  <c r="H8" i="1" l="1"/>
  <c r="T6" i="1"/>
  <c r="T7" i="1" s="1"/>
  <c r="R12" i="1"/>
  <c r="Q12" i="1"/>
  <c r="S12" i="1"/>
  <c r="T12" i="1"/>
  <c r="D46" i="1"/>
  <c r="G46" i="1"/>
  <c r="P12" i="1"/>
  <c r="C46" i="1"/>
  <c r="T60" i="1"/>
  <c r="T62" i="1" s="1"/>
  <c r="S60" i="1"/>
  <c r="S62" i="1" s="1"/>
  <c r="R60" i="1"/>
  <c r="R62" i="1" s="1"/>
  <c r="Q60" i="1"/>
  <c r="Q62" i="1" s="1"/>
  <c r="P60" i="1"/>
  <c r="P62" i="1" s="1"/>
  <c r="H60" i="1"/>
  <c r="G60" i="1"/>
  <c r="F55" i="1"/>
  <c r="F60" i="1" s="1"/>
  <c r="E55" i="1"/>
  <c r="E60" i="1" s="1"/>
  <c r="D55" i="1"/>
  <c r="D60" i="1" s="1"/>
  <c r="C55" i="1"/>
  <c r="C60" i="1" s="1"/>
  <c r="F51" i="1"/>
  <c r="E51" i="1"/>
  <c r="D51" i="1"/>
  <c r="C51" i="1"/>
  <c r="F50" i="1"/>
  <c r="E50" i="1"/>
  <c r="D50" i="1"/>
  <c r="C50" i="1"/>
  <c r="S39" i="1"/>
  <c r="R39" i="1"/>
  <c r="Q39" i="1"/>
  <c r="P39" i="1"/>
  <c r="F36" i="1"/>
  <c r="G35" i="1"/>
  <c r="F35" i="1"/>
  <c r="E35" i="1"/>
  <c r="D35" i="1"/>
  <c r="T27" i="1"/>
  <c r="T53" i="1" s="1"/>
  <c r="S27" i="1"/>
  <c r="S53" i="1" s="1"/>
  <c r="R27" i="1"/>
  <c r="Q27" i="1"/>
  <c r="P27" i="1"/>
  <c r="P53" i="1" s="1"/>
  <c r="G8" i="1"/>
  <c r="F8" i="1"/>
  <c r="E8" i="1"/>
  <c r="D8" i="1"/>
  <c r="C8" i="1"/>
  <c r="S6" i="1"/>
  <c r="S7" i="1" s="1"/>
  <c r="R6" i="1"/>
  <c r="R7" i="1" s="1"/>
  <c r="Q6" i="1"/>
  <c r="Q7" i="1" s="1"/>
  <c r="P6" i="1"/>
  <c r="H5" i="1"/>
  <c r="G5" i="1"/>
  <c r="F5" i="1"/>
  <c r="E5" i="1"/>
  <c r="R65" i="1" s="1"/>
  <c r="D5" i="1"/>
  <c r="Q65" i="1" s="1"/>
  <c r="C5" i="1"/>
  <c r="P65" i="1" s="1"/>
  <c r="U65" i="1" l="1"/>
  <c r="K7" i="1"/>
  <c r="I6" i="1"/>
  <c r="P7" i="1"/>
  <c r="P68" i="1"/>
  <c r="S65" i="1"/>
  <c r="H15" i="1"/>
  <c r="I16" i="1" s="1"/>
  <c r="Q54" i="1"/>
  <c r="S54" i="1"/>
  <c r="T65" i="1"/>
  <c r="G15" i="1"/>
  <c r="P54" i="1"/>
  <c r="U9" i="1"/>
  <c r="R54" i="1"/>
  <c r="U54" i="1"/>
  <c r="Q52" i="1"/>
  <c r="P52" i="1"/>
  <c r="R52" i="1"/>
  <c r="S52" i="1"/>
  <c r="P69" i="1"/>
  <c r="S68" i="1"/>
  <c r="S69" i="1"/>
  <c r="T68" i="1"/>
  <c r="T69" i="1"/>
  <c r="R66" i="1"/>
  <c r="R69" i="1"/>
  <c r="R68" i="1"/>
  <c r="Q68" i="1"/>
  <c r="Q69" i="1"/>
  <c r="T9" i="1"/>
  <c r="P61" i="1"/>
  <c r="P63" i="1" s="1"/>
  <c r="Q61" i="1"/>
  <c r="Q63" i="1" s="1"/>
  <c r="T61" i="1"/>
  <c r="T63" i="1" s="1"/>
  <c r="R61" i="1"/>
  <c r="R63" i="1" s="1"/>
  <c r="S61" i="1"/>
  <c r="S63" i="1" s="1"/>
  <c r="E46" i="1"/>
  <c r="F40" i="1" s="1"/>
  <c r="F46" i="1" s="1"/>
  <c r="P73" i="1"/>
  <c r="E6" i="1"/>
  <c r="D6" i="1"/>
  <c r="D15" i="1"/>
  <c r="Q73" i="1"/>
  <c r="G6" i="1"/>
  <c r="F15" i="1"/>
  <c r="I17" i="1" s="1"/>
  <c r="F6" i="1"/>
  <c r="U53" i="1"/>
  <c r="F7" i="1"/>
  <c r="C15" i="1"/>
  <c r="P64" i="1" s="1"/>
  <c r="T39" i="1"/>
  <c r="E15" i="1"/>
  <c r="G7" i="1"/>
  <c r="Q53" i="1"/>
  <c r="R53" i="1"/>
  <c r="U7" i="1" l="1"/>
  <c r="U67" i="1"/>
  <c r="K17" i="1"/>
  <c r="U64" i="1"/>
  <c r="J17" i="1"/>
  <c r="T64" i="1"/>
  <c r="H23" i="1"/>
  <c r="H25" i="1" s="1"/>
  <c r="S64" i="1"/>
  <c r="T52" i="1"/>
  <c r="T67" i="1" s="1"/>
  <c r="T54" i="1"/>
  <c r="R67" i="1"/>
  <c r="S67" i="1"/>
  <c r="R64" i="1"/>
  <c r="D23" i="1"/>
  <c r="D28" i="1" s="1"/>
  <c r="Q67" i="1"/>
  <c r="P67" i="1"/>
  <c r="Q64" i="1"/>
  <c r="H18" i="1"/>
  <c r="D18" i="1"/>
  <c r="D16" i="1"/>
  <c r="S9" i="1"/>
  <c r="R9" i="1"/>
  <c r="Q9" i="1"/>
  <c r="P9" i="1"/>
  <c r="E16" i="1"/>
  <c r="E18" i="1"/>
  <c r="E23" i="1"/>
  <c r="E33" i="1" s="1"/>
  <c r="C18" i="1"/>
  <c r="C23" i="1"/>
  <c r="C28" i="1" s="1"/>
  <c r="G23" i="1"/>
  <c r="G28" i="1" s="1"/>
  <c r="G17" i="1"/>
  <c r="G18" i="1"/>
  <c r="G16" i="1"/>
  <c r="F17" i="1"/>
  <c r="F18" i="1"/>
  <c r="F23" i="1"/>
  <c r="F28" i="1" s="1"/>
  <c r="I31" i="1" s="1"/>
  <c r="F16" i="1"/>
  <c r="H28" i="1" l="1"/>
  <c r="I30" i="1" s="1"/>
  <c r="H26" i="1"/>
  <c r="J31" i="1"/>
  <c r="D25" i="1"/>
  <c r="G33" i="1"/>
  <c r="T66" i="1"/>
  <c r="C33" i="1"/>
  <c r="P66" i="1"/>
  <c r="D33" i="1"/>
  <c r="Q66" i="1"/>
  <c r="F33" i="1"/>
  <c r="S66" i="1"/>
  <c r="D49" i="1"/>
  <c r="E25" i="1"/>
  <c r="E49" i="1"/>
  <c r="G25" i="1"/>
  <c r="C25" i="1"/>
  <c r="C49" i="1"/>
  <c r="F25" i="1"/>
  <c r="F49" i="1"/>
  <c r="D29" i="1"/>
  <c r="H29" i="1" l="1"/>
  <c r="H33" i="1"/>
  <c r="U66" i="1"/>
  <c r="K31" i="1"/>
  <c r="D30" i="1"/>
  <c r="C29" i="1"/>
  <c r="F30" i="1"/>
  <c r="F31" i="1"/>
  <c r="F29" i="1"/>
  <c r="E30" i="1"/>
  <c r="E29" i="1"/>
  <c r="G29" i="1"/>
  <c r="G30" i="1"/>
  <c r="G31" i="1"/>
  <c r="Y66" i="1"/>
  <c r="L33" i="1" l="1"/>
</calcChain>
</file>

<file path=xl/sharedStrings.xml><?xml version="1.0" encoding="utf-8"?>
<sst xmlns="http://schemas.openxmlformats.org/spreadsheetml/2006/main" count="287" uniqueCount="138">
  <si>
    <t>Income Statement</t>
  </si>
  <si>
    <t>Balance Sheet</t>
  </si>
  <si>
    <t>Y/E, Mar (Rs. mn)</t>
  </si>
  <si>
    <t>FY17</t>
  </si>
  <si>
    <t>FY18</t>
  </si>
  <si>
    <t>FY19</t>
  </si>
  <si>
    <t>FY20</t>
  </si>
  <si>
    <t>FY21</t>
  </si>
  <si>
    <t>Revenue from Operations</t>
  </si>
  <si>
    <t>Share Capital</t>
  </si>
  <si>
    <t>Net sales</t>
  </si>
  <si>
    <t>Other Equity</t>
  </si>
  <si>
    <t>Growth (%)</t>
  </si>
  <si>
    <t>NA</t>
  </si>
  <si>
    <t>Networth/Shareholders Fund/ Book Value</t>
  </si>
  <si>
    <t>CAGR (%)</t>
  </si>
  <si>
    <t>Expenditure</t>
  </si>
  <si>
    <t>Changes in Inventory</t>
  </si>
  <si>
    <t>Capital Employed</t>
  </si>
  <si>
    <t>Employee Benefit expenses</t>
  </si>
  <si>
    <t>EV</t>
  </si>
  <si>
    <t>EBITDA</t>
  </si>
  <si>
    <t>(a) Property, plant and equipment</t>
  </si>
  <si>
    <t>(b) Capital Work-in-Progress</t>
  </si>
  <si>
    <t>EBITDA margin (%)</t>
  </si>
  <si>
    <t>Depreciation</t>
  </si>
  <si>
    <t>Finance Cost</t>
  </si>
  <si>
    <t>Other Income</t>
  </si>
  <si>
    <t>PBT</t>
  </si>
  <si>
    <t>Tax</t>
  </si>
  <si>
    <t>Effective tax rate (%)</t>
  </si>
  <si>
    <t>- Others</t>
  </si>
  <si>
    <t>PAT</t>
  </si>
  <si>
    <t>CURRENT ASSETS, LOANS &amp; ADVANCES</t>
  </si>
  <si>
    <t>PAT margin (%)</t>
  </si>
  <si>
    <t>(a) Inventories</t>
  </si>
  <si>
    <t>(b) Financial Assets</t>
  </si>
  <si>
    <t>-Investments</t>
  </si>
  <si>
    <t>Other Comprehensive Income</t>
  </si>
  <si>
    <t>-Trade Receivables (Debtors)</t>
  </si>
  <si>
    <t>Total Comprehensive Income</t>
  </si>
  <si>
    <t>EPS</t>
  </si>
  <si>
    <t>-Bank balances</t>
  </si>
  <si>
    <t>-Short Term Loans &amp; Advances</t>
  </si>
  <si>
    <t>-Others</t>
  </si>
  <si>
    <t>(c ) Current Tax Assets (net)</t>
  </si>
  <si>
    <t>Cash Flow</t>
  </si>
  <si>
    <t>(d) Other Current Assets</t>
  </si>
  <si>
    <t>CURRENT LIABILITIES &amp; PROVISIONS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</si>
  <si>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</si>
  <si>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</si>
  <si>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</si>
  <si>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</si>
  <si>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Other Current Liabilities</t>
  </si>
  <si>
    <t>Net Inc./(Dec.) in Cash and Cash Equivalent</t>
  </si>
  <si>
    <t>Cash and Cash Equivalents at End of the year</t>
  </si>
  <si>
    <t>NON-CURRENT LIABILITIES</t>
  </si>
  <si>
    <t>Our Calculations</t>
  </si>
  <si>
    <t>Provisions</t>
  </si>
  <si>
    <t xml:space="preserve">Operating Cash Inflow </t>
  </si>
  <si>
    <t xml:space="preserve">Capital Expenditure </t>
  </si>
  <si>
    <t>Total Assets</t>
  </si>
  <si>
    <t>FCF</t>
  </si>
  <si>
    <t>Total Liabilities</t>
  </si>
  <si>
    <t>No. of shares</t>
  </si>
  <si>
    <t>Key ratios</t>
  </si>
  <si>
    <t>Debt</t>
  </si>
  <si>
    <t xml:space="preserve">Y/E, Mar </t>
  </si>
  <si>
    <t>Cash</t>
  </si>
  <si>
    <t>CMP(Rs)</t>
  </si>
  <si>
    <t>EPS (Rs)</t>
  </si>
  <si>
    <t>BVPS (Rs)</t>
  </si>
  <si>
    <t>P/E (x)</t>
  </si>
  <si>
    <t>P/BV (x)</t>
  </si>
  <si>
    <t>EV/EBIDTA (x)</t>
  </si>
  <si>
    <t>Fixed Asset Turnover</t>
  </si>
  <si>
    <t>RoE (%)</t>
  </si>
  <si>
    <t>RoCE (%)</t>
  </si>
  <si>
    <t>Gross D/E(x)</t>
  </si>
  <si>
    <t>Net D/E (x)</t>
  </si>
  <si>
    <t>Debtor Days</t>
  </si>
  <si>
    <t>Creditor Days</t>
  </si>
  <si>
    <t>Inventory Days</t>
  </si>
  <si>
    <t>Working Capital Days</t>
  </si>
  <si>
    <t>Effect of Exchange Rate</t>
  </si>
  <si>
    <t>(c) Investment property</t>
  </si>
  <si>
    <t xml:space="preserve">-Investments </t>
  </si>
  <si>
    <t>- Loans</t>
  </si>
  <si>
    <t>NON CURRENT ASSETS</t>
  </si>
  <si>
    <t>Financial Liabilities</t>
  </si>
  <si>
    <t>- Borrowings</t>
  </si>
  <si>
    <t>- Trade Payables</t>
  </si>
  <si>
    <t>Cost of Materials Consumed</t>
  </si>
  <si>
    <t>3 Year CAGR (%)</t>
  </si>
  <si>
    <t xml:space="preserve">-Cash </t>
  </si>
  <si>
    <t>Bank</t>
  </si>
  <si>
    <t>Market Cap</t>
  </si>
  <si>
    <t>FY22</t>
  </si>
  <si>
    <t>Minority Int</t>
  </si>
  <si>
    <t>- Other Financial Liabilities &amp; Lease Liabilities</t>
  </si>
  <si>
    <t>Other expense (Includes exchange gains)</t>
  </si>
  <si>
    <t>FY23</t>
  </si>
  <si>
    <t>Q1-FY24</t>
  </si>
  <si>
    <t>PARTICULARS (INR Mn)</t>
  </si>
  <si>
    <t>Q2-FY24</t>
  </si>
  <si>
    <t>Q2-FY23</t>
  </si>
  <si>
    <t>Y-o-Y</t>
  </si>
  <si>
    <t>Q-o-Q</t>
  </si>
  <si>
    <t>Operational Revenue</t>
  </si>
  <si>
    <t>Total Expenses</t>
  </si>
  <si>
    <t>EBITDA Margins (%)</t>
  </si>
  <si>
    <t>19*</t>
  </si>
  <si>
    <t>PAT Margins (%)</t>
  </si>
  <si>
    <t>EPS (INR)</t>
  </si>
  <si>
    <t>Diluted EPS (INR)</t>
  </si>
  <si>
    <t>- Other Financial Liabilities and Lease Liability</t>
  </si>
  <si>
    <t>FY24</t>
  </si>
  <si>
    <t>€ Asset classified as held for sale</t>
  </si>
  <si>
    <t>Deferred Tax Liabilities (Net)</t>
  </si>
  <si>
    <t>Provisions &amp; Current Tax Liabilities (Net)</t>
  </si>
  <si>
    <t>Exceptional Item</t>
  </si>
  <si>
    <t>-</t>
  </si>
  <si>
    <t>FY25</t>
  </si>
  <si>
    <t>FY26</t>
  </si>
  <si>
    <t>(d) Right of use assets</t>
  </si>
  <si>
    <t>(e) Goodwill</t>
  </si>
  <si>
    <t>(f) Intangible Assets</t>
  </si>
  <si>
    <t>(g) Intangible Assets under development</t>
  </si>
  <si>
    <t>(h) Financial Assets</t>
  </si>
  <si>
    <t>(i) Deferred Tax Assets (Net)</t>
  </si>
  <si>
    <t>(j) Other Non-Current Assets</t>
  </si>
  <si>
    <t>Manufacturing and Other Expense</t>
  </si>
  <si>
    <t>Purchases of Traded Goods</t>
  </si>
  <si>
    <t>Profit for the period before share of Profit /(Loss) in Associate</t>
  </si>
  <si>
    <t xml:space="preserve"> share in Profit/(Loss) of Associates </t>
  </si>
  <si>
    <t>Lloyds Engineering Works Limited - Consolidated</t>
  </si>
  <si>
    <t>Q1-FY27</t>
  </si>
  <si>
    <t>Closing as per 30th June,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</si>
</sst>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_(* #,##0.00_);_(* \(#,##0.00\);_(* &quot;-&quot;??_);_(@_)"/>
    <numFmt numFmtId="165" formatCode="_ * #,##0_ ;_ * \-#,##0_ ;_ * &quot;-&quot;??_ ;_ @_ "/>
    <numFmt numFmtId="166" formatCode="0.0%"/>
    <numFmt numFmtId="167" formatCode="0.0"/>
    <numFmt numFmtId="168" formatCode="_(* #,##0_);_(* \(#,##0\);_(* &quot;-&quot;??_);_(@_)"/>
    <numFmt numFmtId="169" formatCode="_(* #,##0.0_);_(* \(#,##0.0\);_(* &quot;-&quot;??_);_(@_)"/>
  </numFmts>
  <fonts count="14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Univers 55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261">
    <xf numFmtId="0" fontId="0" fillId="0" borderId="0" xfId="0"/>
    <xf numFmtId="165" fontId="5" fillId="0" borderId="12" xfId="1" applyNumberFormat="1" applyFont="1" applyBorder="1"/>
    <xf numFmtId="165" fontId="5" fillId="0" borderId="12" xfId="1" applyNumberFormat="1" applyFont="1" applyFill="1" applyBorder="1"/>
    <xf numFmtId="0" fontId="5" fillId="0" borderId="0" xfId="4" applyFont="1"/>
    <xf numFmtId="0" fontId="5" fillId="0" borderId="0" xfId="5" applyFont="1" applyAlignment="1">
      <alignment vertical="center"/>
    </xf>
    <xf numFmtId="167" fontId="6" fillId="0" borderId="5" xfId="3" applyNumberFormat="1" applyFont="1" applyBorder="1"/>
    <xf numFmtId="165" fontId="6" fillId="0" borderId="6" xfId="1" applyNumberFormat="1" applyFont="1" applyFill="1" applyBorder="1"/>
    <xf numFmtId="165" fontId="5" fillId="0" borderId="6" xfId="1" applyNumberFormat="1" applyFont="1" applyFill="1" applyBorder="1"/>
    <xf numFmtId="167" fontId="5" fillId="0" borderId="11" xfId="3" applyNumberFormat="1" applyFont="1" applyBorder="1"/>
    <xf numFmtId="165" fontId="5" fillId="0" borderId="13" xfId="1" applyNumberFormat="1" applyFont="1" applyFill="1" applyBorder="1"/>
    <xf numFmtId="167" fontId="6" fillId="0" borderId="15" xfId="3" applyNumberFormat="1" applyFont="1" applyBorder="1"/>
    <xf numFmtId="165" fontId="6" fillId="0" borderId="16" xfId="1" applyNumberFormat="1" applyFont="1" applyFill="1" applyBorder="1"/>
    <xf numFmtId="0" fontId="5" fillId="0" borderId="19" xfId="4" applyFont="1" applyBorder="1"/>
    <xf numFmtId="165" fontId="5" fillId="0" borderId="20" xfId="1" applyNumberFormat="1" applyFont="1" applyBorder="1"/>
    <xf numFmtId="0" fontId="5" fillId="0" borderId="11" xfId="4" applyFont="1" applyBorder="1"/>
    <xf numFmtId="0" fontId="6" fillId="0" borderId="11" xfId="4" applyFont="1" applyBorder="1"/>
    <xf numFmtId="165" fontId="6" fillId="0" borderId="12" xfId="1" applyNumberFormat="1" applyFont="1" applyFill="1" applyBorder="1"/>
    <xf numFmtId="1" fontId="5" fillId="0" borderId="0" xfId="4" applyNumberFormat="1" applyFont="1"/>
    <xf numFmtId="167" fontId="5" fillId="0" borderId="0" xfId="3" applyNumberFormat="1" applyFont="1" applyAlignment="1">
      <alignment horizontal="center"/>
    </xf>
    <xf numFmtId="1" fontId="5" fillId="0" borderId="12" xfId="3" applyNumberFormat="1" applyFont="1" applyBorder="1" applyAlignment="1">
      <alignment horizontal="center"/>
    </xf>
    <xf numFmtId="1" fontId="5" fillId="0" borderId="13" xfId="3" applyNumberFormat="1" applyFont="1" applyBorder="1" applyAlignment="1">
      <alignment horizontal="center"/>
    </xf>
    <xf numFmtId="165" fontId="6" fillId="0" borderId="7" xfId="1" applyNumberFormat="1" applyFont="1" applyFill="1" applyBorder="1"/>
    <xf numFmtId="0" fontId="5" fillId="0" borderId="21" xfId="4" applyFont="1" applyBorder="1"/>
    <xf numFmtId="1" fontId="6" fillId="0" borderId="15" xfId="4" applyNumberFormat="1" applyFont="1" applyBorder="1"/>
    <xf numFmtId="0" fontId="5" fillId="0" borderId="22" xfId="4" applyFont="1" applyBorder="1"/>
    <xf numFmtId="1" fontId="5" fillId="5" borderId="16" xfId="3" applyNumberFormat="1" applyFont="1" applyFill="1" applyBorder="1" applyAlignment="1">
      <alignment horizontal="center"/>
    </xf>
    <xf numFmtId="1" fontId="5" fillId="5" borderId="17" xfId="3" applyNumberFormat="1" applyFont="1" applyFill="1" applyBorder="1" applyAlignment="1">
      <alignment horizontal="center"/>
    </xf>
    <xf numFmtId="165" fontId="5" fillId="0" borderId="16" xfId="1" applyNumberFormat="1" applyFont="1" applyBorder="1"/>
    <xf numFmtId="168" fontId="5" fillId="0" borderId="12" xfId="1" applyNumberFormat="1" applyFont="1" applyBorder="1"/>
    <xf numFmtId="165" fontId="6" fillId="0" borderId="20" xfId="1" applyNumberFormat="1" applyFont="1" applyFill="1" applyBorder="1"/>
    <xf numFmtId="164" fontId="0" fillId="0" borderId="0" xfId="0" applyNumberFormat="1"/>
    <xf numFmtId="10" fontId="0" fillId="0" borderId="0" xfId="0" applyNumberFormat="1"/>
    <xf numFmtId="166" fontId="0" fillId="0" borderId="0" xfId="2" applyNumberFormat="1" applyFont="1"/>
    <xf numFmtId="10" fontId="0" fillId="0" borderId="0" xfId="2" applyNumberFormat="1" applyFont="1"/>
    <xf numFmtId="43" fontId="5" fillId="0" borderId="0" xfId="4" applyNumberFormat="1" applyFont="1"/>
    <xf numFmtId="165" fontId="5" fillId="0" borderId="0" xfId="4" applyNumberFormat="1" applyFont="1"/>
    <xf numFmtId="3" fontId="0" fillId="0" borderId="0" xfId="0" applyNumberFormat="1"/>
    <xf numFmtId="165" fontId="5" fillId="0" borderId="14" xfId="1" applyNumberFormat="1" applyFont="1" applyFill="1" applyBorder="1"/>
    <xf numFmtId="168" fontId="5" fillId="0" borderId="13" xfId="1" applyNumberFormat="1" applyFont="1" applyBorder="1"/>
    <xf numFmtId="168" fontId="5" fillId="0" borderId="23" xfId="1" applyNumberFormat="1" applyFont="1" applyBorder="1"/>
    <xf numFmtId="168" fontId="5" fillId="0" borderId="27" xfId="1" applyNumberFormat="1" applyFont="1" applyBorder="1"/>
    <xf numFmtId="168" fontId="6" fillId="0" borderId="16" xfId="1" applyNumberFormat="1" applyFont="1" applyFill="1" applyBorder="1"/>
    <xf numFmtId="168" fontId="6" fillId="0" borderId="17" xfId="1" applyNumberFormat="1" applyFont="1" applyFill="1" applyBorder="1"/>
    <xf numFmtId="0" fontId="5" fillId="0" borderId="11" xfId="3" quotePrefix="1" applyFont="1" applyBorder="1"/>
    <xf numFmtId="1" fontId="5" fillId="0" borderId="11" xfId="3" quotePrefix="1" applyNumberFormat="1" applyFont="1" applyBorder="1"/>
    <xf numFmtId="0" fontId="5" fillId="0" borderId="11" xfId="4" quotePrefix="1" applyFont="1" applyBorder="1"/>
    <xf numFmtId="0" fontId="5" fillId="5" borderId="11" xfId="4" applyFont="1" applyFill="1" applyBorder="1"/>
    <xf numFmtId="0" fontId="6" fillId="5" borderId="11" xfId="4" applyFont="1" applyFill="1" applyBorder="1"/>
    <xf numFmtId="168" fontId="5" fillId="0" borderId="20" xfId="1" applyNumberFormat="1" applyFont="1" applyBorder="1"/>
    <xf numFmtId="168" fontId="6" fillId="0" borderId="12" xfId="1" applyNumberFormat="1" applyFont="1" applyFill="1" applyBorder="1"/>
    <xf numFmtId="168" fontId="5" fillId="0" borderId="12" xfId="1" applyNumberFormat="1" applyFont="1" applyFill="1" applyBorder="1"/>
    <xf numFmtId="168" fontId="5" fillId="0" borderId="12" xfId="1" applyNumberFormat="1" applyFont="1" applyBorder="1" applyAlignment="1">
      <alignment horizontal="center"/>
    </xf>
    <xf numFmtId="168" fontId="5" fillId="4" borderId="12" xfId="1" applyNumberFormat="1" applyFont="1" applyFill="1" applyBorder="1" applyAlignment="1">
      <alignment horizontal="center"/>
    </xf>
    <xf numFmtId="168" fontId="6" fillId="0" borderId="12" xfId="1" applyNumberFormat="1" applyFont="1" applyBorder="1" applyAlignment="1">
      <alignment horizontal="center"/>
    </xf>
    <xf numFmtId="168" fontId="6" fillId="4" borderId="12" xfId="1" applyNumberFormat="1" applyFont="1" applyFill="1" applyBorder="1" applyAlignment="1">
      <alignment horizontal="center"/>
    </xf>
    <xf numFmtId="168" fontId="5" fillId="4" borderId="12" xfId="1" applyNumberFormat="1" applyFont="1" applyFill="1" applyBorder="1"/>
    <xf numFmtId="168" fontId="6" fillId="0" borderId="12" xfId="1" applyNumberFormat="1" applyFont="1" applyBorder="1"/>
    <xf numFmtId="168" fontId="6" fillId="5" borderId="14" xfId="1" applyNumberFormat="1" applyFont="1" applyFill="1" applyBorder="1"/>
    <xf numFmtId="0" fontId="9" fillId="0" borderId="0" xfId="0" applyFont="1"/>
    <xf numFmtId="165" fontId="6" fillId="0" borderId="17" xfId="1" applyNumberFormat="1" applyFont="1" applyFill="1" applyBorder="1"/>
    <xf numFmtId="165" fontId="6" fillId="5" borderId="12" xfId="1" applyNumberFormat="1" applyFont="1" applyFill="1" applyBorder="1"/>
    <xf numFmtId="166" fontId="5" fillId="0" borderId="12" xfId="2" applyNumberFormat="1" applyFont="1" applyFill="1" applyBorder="1" applyAlignment="1">
      <alignment horizontal="right"/>
    </xf>
    <xf numFmtId="166" fontId="5" fillId="5" borderId="12" xfId="2" applyNumberFormat="1" applyFont="1" applyFill="1" applyBorder="1" applyAlignment="1">
      <alignment horizontal="right"/>
    </xf>
    <xf numFmtId="3" fontId="6" fillId="0" borderId="12" xfId="3" applyNumberFormat="1" applyFont="1" applyBorder="1" applyAlignment="1">
      <alignment horizontal="right"/>
    </xf>
    <xf numFmtId="3" fontId="5" fillId="0" borderId="12" xfId="3" applyNumberFormat="1" applyFont="1" applyBorder="1" applyAlignment="1">
      <alignment horizontal="right"/>
    </xf>
    <xf numFmtId="168" fontId="6" fillId="5" borderId="12" xfId="1" applyNumberFormat="1" applyFont="1" applyFill="1" applyBorder="1"/>
    <xf numFmtId="166" fontId="6" fillId="5" borderId="12" xfId="2" applyNumberFormat="1" applyFont="1" applyFill="1" applyBorder="1"/>
    <xf numFmtId="1" fontId="5" fillId="0" borderId="12" xfId="2" applyNumberFormat="1" applyFont="1" applyFill="1" applyBorder="1"/>
    <xf numFmtId="165" fontId="5" fillId="0" borderId="12" xfId="1" applyNumberFormat="1" applyFont="1" applyFill="1" applyBorder="1" applyAlignment="1">
      <alignment horizontal="right"/>
    </xf>
    <xf numFmtId="1" fontId="5" fillId="0" borderId="12" xfId="3" applyNumberFormat="1" applyFont="1" applyBorder="1"/>
    <xf numFmtId="166" fontId="5" fillId="0" borderId="12" xfId="2" applyNumberFormat="1" applyFont="1" applyFill="1" applyBorder="1"/>
    <xf numFmtId="1" fontId="5" fillId="5" borderId="12" xfId="2" applyNumberFormat="1" applyFont="1" applyFill="1" applyBorder="1" applyAlignment="1">
      <alignment horizontal="right"/>
    </xf>
    <xf numFmtId="168" fontId="6" fillId="5" borderId="12" xfId="1" applyNumberFormat="1" applyFont="1" applyFill="1" applyBorder="1" applyAlignment="1">
      <alignment horizontal="right"/>
    </xf>
    <xf numFmtId="2" fontId="6" fillId="5" borderId="12" xfId="3" applyNumberFormat="1" applyFont="1" applyFill="1" applyBorder="1"/>
    <xf numFmtId="166" fontId="5" fillId="5" borderId="16" xfId="2" applyNumberFormat="1" applyFont="1" applyFill="1" applyBorder="1" applyAlignment="1">
      <alignment horizontal="right"/>
    </xf>
    <xf numFmtId="0" fontId="6" fillId="3" borderId="32" xfId="3" applyFont="1" applyFill="1" applyBorder="1" applyAlignment="1">
      <alignment horizontal="center"/>
    </xf>
    <xf numFmtId="0" fontId="6" fillId="3" borderId="25" xfId="3" applyFont="1" applyFill="1" applyBorder="1" applyAlignment="1">
      <alignment horizontal="center"/>
    </xf>
    <xf numFmtId="169" fontId="5" fillId="0" borderId="6" xfId="1" applyNumberFormat="1" applyFont="1" applyFill="1" applyBorder="1"/>
    <xf numFmtId="168" fontId="5" fillId="0" borderId="20" xfId="1" applyNumberFormat="1" applyFont="1" applyFill="1" applyBorder="1"/>
    <xf numFmtId="168" fontId="6" fillId="0" borderId="12" xfId="1" applyNumberFormat="1" applyFont="1" applyFill="1" applyBorder="1" applyAlignment="1">
      <alignment horizontal="right"/>
    </xf>
    <xf numFmtId="167" fontId="5" fillId="0" borderId="12" xfId="3" applyNumberFormat="1" applyFont="1" applyBorder="1" applyAlignment="1">
      <alignment horizontal="center"/>
    </xf>
    <xf numFmtId="167" fontId="5" fillId="5" borderId="12" xfId="3" applyNumberFormat="1" applyFont="1" applyFill="1" applyBorder="1" applyAlignment="1">
      <alignment horizontal="center"/>
    </xf>
    <xf numFmtId="166" fontId="5" fillId="5" borderId="12" xfId="2" applyNumberFormat="1" applyFont="1" applyFill="1" applyBorder="1" applyAlignment="1">
      <alignment horizontal="center"/>
    </xf>
    <xf numFmtId="165" fontId="6" fillId="0" borderId="35" xfId="1" applyNumberFormat="1" applyFont="1" applyFill="1" applyBorder="1"/>
    <xf numFmtId="165" fontId="6" fillId="5" borderId="13" xfId="1" applyNumberFormat="1" applyFont="1" applyFill="1" applyBorder="1"/>
    <xf numFmtId="166" fontId="5" fillId="0" borderId="13" xfId="2" applyNumberFormat="1" applyFont="1" applyFill="1" applyBorder="1" applyAlignment="1">
      <alignment horizontal="right"/>
    </xf>
    <xf numFmtId="166" fontId="5" fillId="5" borderId="13" xfId="2" applyNumberFormat="1" applyFont="1" applyFill="1" applyBorder="1" applyAlignment="1">
      <alignment horizontal="right"/>
    </xf>
    <xf numFmtId="3" fontId="6" fillId="0" borderId="13" xfId="3" applyNumberFormat="1" applyFont="1" applyBorder="1" applyAlignment="1">
      <alignment horizontal="right"/>
    </xf>
    <xf numFmtId="3" fontId="5" fillId="0" borderId="13" xfId="3" applyNumberFormat="1" applyFont="1" applyBorder="1" applyAlignment="1">
      <alignment horizontal="right"/>
    </xf>
    <xf numFmtId="168" fontId="6" fillId="5" borderId="13" xfId="1" applyNumberFormat="1" applyFont="1" applyFill="1" applyBorder="1"/>
    <xf numFmtId="166" fontId="6" fillId="5" borderId="13" xfId="2" applyNumberFormat="1" applyFont="1" applyFill="1" applyBorder="1"/>
    <xf numFmtId="1" fontId="5" fillId="0" borderId="13" xfId="2" applyNumberFormat="1" applyFont="1" applyFill="1" applyBorder="1"/>
    <xf numFmtId="165" fontId="5" fillId="0" borderId="13" xfId="1" applyNumberFormat="1" applyFont="1" applyFill="1" applyBorder="1" applyAlignment="1">
      <alignment horizontal="right"/>
    </xf>
    <xf numFmtId="1" fontId="5" fillId="0" borderId="35" xfId="3" applyNumberFormat="1" applyFont="1" applyBorder="1"/>
    <xf numFmtId="166" fontId="5" fillId="0" borderId="13" xfId="2" applyNumberFormat="1" applyFont="1" applyFill="1" applyBorder="1"/>
    <xf numFmtId="1" fontId="5" fillId="5" borderId="35" xfId="2" applyNumberFormat="1" applyFont="1" applyFill="1" applyBorder="1" applyAlignment="1">
      <alignment horizontal="right"/>
    </xf>
    <xf numFmtId="168" fontId="6" fillId="5" borderId="13" xfId="1" applyNumberFormat="1" applyFont="1" applyFill="1" applyBorder="1" applyAlignment="1">
      <alignment horizontal="right"/>
    </xf>
    <xf numFmtId="2" fontId="6" fillId="5" borderId="13" xfId="3" applyNumberFormat="1" applyFont="1" applyFill="1" applyBorder="1"/>
    <xf numFmtId="166" fontId="5" fillId="5" borderId="17" xfId="2" applyNumberFormat="1" applyFont="1" applyFill="1" applyBorder="1" applyAlignment="1">
      <alignment horizontal="right"/>
    </xf>
    <xf numFmtId="0" fontId="6" fillId="3" borderId="10" xfId="3" applyFont="1" applyFill="1" applyBorder="1" applyAlignment="1">
      <alignment horizontal="center"/>
    </xf>
    <xf numFmtId="169" fontId="5" fillId="0" borderId="26" xfId="1" applyNumberFormat="1" applyFont="1" applyFill="1" applyBorder="1"/>
    <xf numFmtId="168" fontId="6" fillId="0" borderId="17" xfId="1" applyNumberFormat="1" applyFont="1" applyBorder="1"/>
    <xf numFmtId="0" fontId="9" fillId="0" borderId="38" xfId="0" applyFont="1" applyBorder="1"/>
    <xf numFmtId="0" fontId="6" fillId="3" borderId="3" xfId="3" applyFont="1" applyFill="1" applyBorder="1"/>
    <xf numFmtId="0" fontId="6" fillId="3" borderId="4" xfId="3" applyFont="1" applyFill="1" applyBorder="1"/>
    <xf numFmtId="0" fontId="6" fillId="3" borderId="34" xfId="4" applyFont="1" applyFill="1" applyBorder="1"/>
    <xf numFmtId="0" fontId="6" fillId="0" borderId="40" xfId="4" applyFont="1" applyBorder="1"/>
    <xf numFmtId="0" fontId="6" fillId="5" borderId="42" xfId="4" applyFont="1" applyFill="1" applyBorder="1"/>
    <xf numFmtId="165" fontId="5" fillId="0" borderId="26" xfId="1" applyNumberFormat="1" applyFont="1" applyFill="1" applyBorder="1"/>
    <xf numFmtId="165" fontId="5" fillId="0" borderId="31" xfId="1" applyNumberFormat="1" applyFont="1" applyFill="1" applyBorder="1"/>
    <xf numFmtId="165" fontId="5" fillId="4" borderId="12" xfId="1" applyNumberFormat="1" applyFont="1" applyFill="1" applyBorder="1"/>
    <xf numFmtId="165" fontId="6" fillId="4" borderId="12" xfId="1" applyNumberFormat="1" applyFont="1" applyFill="1" applyBorder="1"/>
    <xf numFmtId="165" fontId="5" fillId="0" borderId="16" xfId="1" applyNumberFormat="1" applyFont="1" applyFill="1" applyBorder="1"/>
    <xf numFmtId="165" fontId="5" fillId="0" borderId="0" xfId="1" applyNumberFormat="1" applyFont="1" applyFill="1" applyBorder="1"/>
    <xf numFmtId="165" fontId="6" fillId="0" borderId="0" xfId="1" applyNumberFormat="1" applyFont="1" applyFill="1" applyBorder="1"/>
    <xf numFmtId="0" fontId="6" fillId="3" borderId="9" xfId="3" applyFont="1" applyFill="1" applyBorder="1" applyAlignment="1">
      <alignment horizontal="center"/>
    </xf>
    <xf numFmtId="0" fontId="6" fillId="3" borderId="3" xfId="3" applyFont="1" applyFill="1" applyBorder="1" applyAlignment="1">
      <alignment horizontal="center"/>
    </xf>
    <xf numFmtId="0" fontId="5" fillId="0" borderId="0" xfId="3" applyFont="1" applyAlignment="1">
      <alignment horizontal="right"/>
    </xf>
    <xf numFmtId="0" fontId="6" fillId="3" borderId="5" xfId="3" applyFont="1" applyFill="1" applyBorder="1"/>
    <xf numFmtId="0" fontId="6" fillId="3" borderId="6" xfId="3" applyFont="1" applyFill="1" applyBorder="1" applyAlignment="1">
      <alignment horizontal="center"/>
    </xf>
    <xf numFmtId="0" fontId="6" fillId="0" borderId="0" xfId="3" applyFont="1" applyAlignment="1">
      <alignment horizontal="right"/>
    </xf>
    <xf numFmtId="0" fontId="6" fillId="0" borderId="11" xfId="3" applyFont="1" applyBorder="1"/>
    <xf numFmtId="0" fontId="5" fillId="0" borderId="19" xfId="3" applyFont="1" applyBorder="1"/>
    <xf numFmtId="0" fontId="6" fillId="5" borderId="11" xfId="3" applyFont="1" applyFill="1" applyBorder="1"/>
    <xf numFmtId="166" fontId="5" fillId="0" borderId="0" xfId="2" applyNumberFormat="1" applyFont="1" applyFill="1" applyBorder="1" applyAlignment="1">
      <alignment horizontal="right"/>
    </xf>
    <xf numFmtId="0" fontId="5" fillId="0" borderId="11" xfId="3" applyFont="1" applyBorder="1"/>
    <xf numFmtId="168" fontId="10" fillId="0" borderId="12" xfId="1" applyNumberFormat="1" applyFont="1" applyBorder="1"/>
    <xf numFmtId="0" fontId="11" fillId="0" borderId="11" xfId="3" applyFont="1" applyBorder="1"/>
    <xf numFmtId="0" fontId="11" fillId="5" borderId="11" xfId="3" applyFont="1" applyFill="1" applyBorder="1"/>
    <xf numFmtId="3" fontId="6" fillId="0" borderId="0" xfId="3" applyNumberFormat="1" applyFont="1" applyAlignment="1">
      <alignment horizontal="right"/>
    </xf>
    <xf numFmtId="0" fontId="5" fillId="0" borderId="0" xfId="2" applyNumberFormat="1" applyFont="1" applyFill="1" applyBorder="1"/>
    <xf numFmtId="3" fontId="5" fillId="4" borderId="12" xfId="3" applyNumberFormat="1" applyFont="1" applyFill="1" applyBorder="1" applyAlignment="1">
      <alignment horizontal="right"/>
    </xf>
    <xf numFmtId="1" fontId="6" fillId="5" borderId="12" xfId="3" applyNumberFormat="1" applyFont="1" applyFill="1" applyBorder="1"/>
    <xf numFmtId="166" fontId="6" fillId="0" borderId="0" xfId="2" applyNumberFormat="1" applyFont="1" applyFill="1" applyBorder="1" applyAlignment="1">
      <alignment horizontal="right"/>
    </xf>
    <xf numFmtId="166" fontId="6" fillId="0" borderId="0" xfId="2" applyNumberFormat="1" applyFont="1" applyFill="1" applyBorder="1"/>
    <xf numFmtId="0" fontId="12" fillId="5" borderId="11" xfId="3" applyFont="1" applyFill="1" applyBorder="1"/>
    <xf numFmtId="1" fontId="5" fillId="0" borderId="0" xfId="3" applyNumberFormat="1" applyFont="1"/>
    <xf numFmtId="1" fontId="5" fillId="0" borderId="12" xfId="2" applyNumberFormat="1" applyFont="1" applyBorder="1"/>
    <xf numFmtId="1" fontId="5" fillId="4" borderId="12" xfId="2" applyNumberFormat="1" applyFont="1" applyFill="1" applyBorder="1"/>
    <xf numFmtId="165" fontId="5" fillId="4" borderId="13" xfId="1" applyNumberFormat="1" applyFont="1" applyFill="1" applyBorder="1" applyAlignment="1">
      <alignment horizontal="right"/>
    </xf>
    <xf numFmtId="165" fontId="5" fillId="4" borderId="12" xfId="1" applyNumberFormat="1" applyFont="1" applyFill="1" applyBorder="1" applyAlignment="1">
      <alignment horizontal="right"/>
    </xf>
    <xf numFmtId="166" fontId="5" fillId="0" borderId="12" xfId="2" applyNumberFormat="1" applyFont="1" applyBorder="1"/>
    <xf numFmtId="168" fontId="6" fillId="0" borderId="12" xfId="1" applyNumberFormat="1" applyFont="1" applyBorder="1" applyAlignment="1">
      <alignment horizontal="right"/>
    </xf>
    <xf numFmtId="2" fontId="5" fillId="0" borderId="0" xfId="2" applyNumberFormat="1" applyFont="1" applyFill="1" applyBorder="1" applyAlignment="1">
      <alignment horizontal="right"/>
    </xf>
    <xf numFmtId="167" fontId="5" fillId="5" borderId="12" xfId="2" applyNumberFormat="1" applyFont="1" applyFill="1" applyBorder="1" applyAlignment="1">
      <alignment horizontal="right"/>
    </xf>
    <xf numFmtId="0" fontId="11" fillId="5" borderId="15" xfId="3" applyFont="1" applyFill="1" applyBorder="1"/>
    <xf numFmtId="0" fontId="6" fillId="3" borderId="2" xfId="3" applyFont="1" applyFill="1" applyBorder="1"/>
    <xf numFmtId="165" fontId="6" fillId="0" borderId="29" xfId="1" applyNumberFormat="1" applyFont="1" applyFill="1" applyBorder="1"/>
    <xf numFmtId="0" fontId="6" fillId="3" borderId="18" xfId="3" applyFont="1" applyFill="1" applyBorder="1" applyAlignment="1">
      <alignment horizontal="center"/>
    </xf>
    <xf numFmtId="0" fontId="6" fillId="3" borderId="33" xfId="3" applyFont="1" applyFill="1" applyBorder="1" applyAlignment="1">
      <alignment horizontal="center"/>
    </xf>
    <xf numFmtId="169" fontId="5" fillId="0" borderId="20" xfId="1" applyNumberFormat="1" applyFont="1" applyFill="1" applyBorder="1"/>
    <xf numFmtId="0" fontId="6" fillId="0" borderId="15" xfId="3" applyFont="1" applyBorder="1"/>
    <xf numFmtId="168" fontId="6" fillId="0" borderId="16" xfId="1" applyNumberFormat="1" applyFont="1" applyBorder="1"/>
    <xf numFmtId="0" fontId="6" fillId="0" borderId="0" xfId="3" applyFont="1"/>
    <xf numFmtId="165" fontId="6" fillId="0" borderId="0" xfId="1" applyNumberFormat="1" applyFont="1" applyBorder="1"/>
    <xf numFmtId="0" fontId="6" fillId="3" borderId="24" xfId="3" applyFont="1" applyFill="1" applyBorder="1"/>
    <xf numFmtId="0" fontId="6" fillId="3" borderId="30" xfId="3" applyFont="1" applyFill="1" applyBorder="1" applyAlignment="1">
      <alignment horizontal="center"/>
    </xf>
    <xf numFmtId="0" fontId="6" fillId="3" borderId="0" xfId="3" applyFont="1" applyFill="1" applyAlignment="1">
      <alignment horizontal="center"/>
    </xf>
    <xf numFmtId="2" fontId="5" fillId="0" borderId="12" xfId="3" applyNumberFormat="1" applyFont="1" applyBorder="1" applyAlignment="1">
      <alignment horizontal="center"/>
    </xf>
    <xf numFmtId="167" fontId="5" fillId="0" borderId="13" xfId="3" applyNumberFormat="1" applyFont="1" applyBorder="1" applyAlignment="1">
      <alignment horizontal="center"/>
    </xf>
    <xf numFmtId="0" fontId="5" fillId="5" borderId="11" xfId="3" applyFont="1" applyFill="1" applyBorder="1"/>
    <xf numFmtId="1" fontId="5" fillId="5" borderId="12" xfId="3" applyNumberFormat="1" applyFont="1" applyFill="1" applyBorder="1" applyAlignment="1">
      <alignment horizontal="center"/>
    </xf>
    <xf numFmtId="0" fontId="5" fillId="0" borderId="0" xfId="0" applyFont="1"/>
    <xf numFmtId="165" fontId="9" fillId="0" borderId="0" xfId="0" applyNumberFormat="1" applyFont="1"/>
    <xf numFmtId="0" fontId="5" fillId="5" borderId="15" xfId="3" applyFont="1" applyFill="1" applyBorder="1"/>
    <xf numFmtId="165" fontId="5" fillId="5" borderId="17" xfId="1" applyNumberFormat="1" applyFont="1" applyFill="1" applyBorder="1"/>
    <xf numFmtId="165" fontId="5" fillId="5" borderId="29" xfId="1" applyNumberFormat="1" applyFont="1" applyFill="1" applyBorder="1"/>
    <xf numFmtId="168" fontId="6" fillId="0" borderId="14" xfId="1" applyNumberFormat="1" applyFont="1" applyFill="1" applyBorder="1"/>
    <xf numFmtId="0" fontId="9" fillId="0" borderId="43" xfId="0" applyFont="1" applyBorder="1"/>
    <xf numFmtId="168" fontId="6" fillId="0" borderId="43" xfId="1" applyNumberFormat="1" applyFont="1" applyFill="1" applyBorder="1"/>
    <xf numFmtId="168" fontId="5" fillId="0" borderId="43" xfId="1" applyNumberFormat="1" applyFont="1" applyFill="1" applyBorder="1"/>
    <xf numFmtId="168" fontId="6" fillId="0" borderId="43" xfId="1" applyNumberFormat="1" applyFont="1" applyFill="1" applyBorder="1" applyAlignment="1">
      <alignment horizontal="right"/>
    </xf>
    <xf numFmtId="168" fontId="5" fillId="0" borderId="43" xfId="1" applyNumberFormat="1" applyFont="1" applyFill="1" applyBorder="1" applyAlignment="1">
      <alignment horizontal="right"/>
    </xf>
    <xf numFmtId="168" fontId="6" fillId="0" borderId="28" xfId="1" applyNumberFormat="1" applyFont="1" applyFill="1" applyBorder="1"/>
    <xf numFmtId="0" fontId="9" fillId="0" borderId="14" xfId="0" applyFont="1" applyBorder="1"/>
    <xf numFmtId="168" fontId="5" fillId="0" borderId="14" xfId="1" applyNumberFormat="1" applyFont="1" applyFill="1" applyBorder="1"/>
    <xf numFmtId="168" fontId="6" fillId="0" borderId="14" xfId="1" applyNumberFormat="1" applyFont="1" applyFill="1" applyBorder="1" applyAlignment="1">
      <alignment horizontal="right"/>
    </xf>
    <xf numFmtId="168" fontId="5" fillId="0" borderId="14" xfId="1" applyNumberFormat="1" applyFont="1" applyFill="1" applyBorder="1" applyAlignment="1">
      <alignment horizontal="right"/>
    </xf>
    <xf numFmtId="168" fontId="6" fillId="0" borderId="29" xfId="1" applyNumberFormat="1" applyFont="1" applyFill="1" applyBorder="1"/>
    <xf numFmtId="168" fontId="5" fillId="0" borderId="44" xfId="1" applyNumberFormat="1" applyFont="1" applyFill="1" applyBorder="1"/>
    <xf numFmtId="168" fontId="10" fillId="0" borderId="43" xfId="1" applyNumberFormat="1" applyFont="1" applyFill="1" applyBorder="1"/>
    <xf numFmtId="168" fontId="6" fillId="5" borderId="43" xfId="1" applyNumberFormat="1" applyFont="1" applyFill="1" applyBorder="1"/>
    <xf numFmtId="168" fontId="6" fillId="0" borderId="13" xfId="1" applyNumberFormat="1" applyFont="1" applyFill="1" applyBorder="1"/>
    <xf numFmtId="168" fontId="5" fillId="0" borderId="39" xfId="1" applyNumberFormat="1" applyFont="1" applyFill="1" applyBorder="1"/>
    <xf numFmtId="168" fontId="10" fillId="0" borderId="14" xfId="1" applyNumberFormat="1" applyFont="1" applyFill="1" applyBorder="1"/>
    <xf numFmtId="168" fontId="0" fillId="0" borderId="0" xfId="0" applyNumberFormat="1"/>
    <xf numFmtId="43" fontId="0" fillId="0" borderId="0" xfId="0" applyNumberFormat="1"/>
    <xf numFmtId="0" fontId="5" fillId="0" borderId="41" xfId="4" applyFont="1" applyBorder="1"/>
    <xf numFmtId="0" fontId="5" fillId="0" borderId="14" xfId="0" applyFont="1" applyBorder="1" applyAlignment="1">
      <alignment horizontal="right"/>
    </xf>
    <xf numFmtId="0" fontId="5" fillId="0" borderId="43" xfId="0" applyFont="1" applyBorder="1" applyAlignment="1">
      <alignment horizontal="right"/>
    </xf>
    <xf numFmtId="0" fontId="6" fillId="6" borderId="9" xfId="3" applyFont="1" applyFill="1" applyBorder="1" applyAlignment="1">
      <alignment horizontal="center"/>
    </xf>
    <xf numFmtId="0" fontId="6" fillId="6" borderId="8" xfId="3" applyFont="1" applyFill="1" applyBorder="1"/>
    <xf numFmtId="0" fontId="6" fillId="6" borderId="32" xfId="3" applyFont="1" applyFill="1" applyBorder="1" applyAlignment="1">
      <alignment horizontal="center"/>
    </xf>
    <xf numFmtId="0" fontId="6" fillId="6" borderId="3" xfId="3" applyFont="1" applyFill="1" applyBorder="1" applyAlignment="1">
      <alignment horizontal="center"/>
    </xf>
    <xf numFmtId="168" fontId="5" fillId="0" borderId="0" xfId="1" applyNumberFormat="1" applyFont="1" applyFill="1" applyBorder="1"/>
    <xf numFmtId="0" fontId="5" fillId="0" borderId="45" xfId="3" applyFont="1" applyBorder="1"/>
    <xf numFmtId="0" fontId="6" fillId="0" borderId="45" xfId="3" applyFont="1" applyBorder="1"/>
    <xf numFmtId="0" fontId="13" fillId="0" borderId="12" xfId="0" applyFont="1" applyBorder="1"/>
    <xf numFmtId="0" fontId="6" fillId="3" borderId="46" xfId="3" applyFont="1" applyFill="1" applyBorder="1" applyAlignment="1">
      <alignment horizontal="center"/>
    </xf>
    <xf numFmtId="1" fontId="5" fillId="0" borderId="14" xfId="0" applyNumberFormat="1" applyFont="1" applyBorder="1" applyAlignment="1">
      <alignment horizontal="right"/>
    </xf>
    <xf numFmtId="1" fontId="0" fillId="0" borderId="0" xfId="0" applyNumberFormat="1"/>
    <xf numFmtId="1" fontId="5" fillId="0" borderId="43" xfId="0" applyNumberFormat="1" applyFont="1" applyBorder="1" applyAlignment="1">
      <alignment horizontal="right"/>
    </xf>
    <xf numFmtId="1" fontId="13" fillId="0" borderId="12" xfId="0" applyNumberFormat="1" applyFont="1" applyBorder="1"/>
    <xf numFmtId="2" fontId="5" fillId="0" borderId="6" xfId="3" applyNumberFormat="1" applyFont="1" applyBorder="1" applyAlignment="1">
      <alignment horizontal="center"/>
    </xf>
    <xf numFmtId="0" fontId="0" fillId="7" borderId="0" xfId="0" applyFill="1"/>
    <xf numFmtId="1" fontId="9" fillId="0" borderId="0" xfId="0" applyNumberFormat="1" applyFont="1"/>
    <xf numFmtId="43" fontId="9" fillId="0" borderId="0" xfId="0" applyNumberFormat="1" applyFont="1"/>
    <xf numFmtId="0" fontId="0" fillId="0" borderId="0" xfId="0" applyAlignment="1">
      <alignment horizontal="right"/>
    </xf>
    <xf numFmtId="168" fontId="9" fillId="0" borderId="0" xfId="0" applyNumberFormat="1" applyFont="1"/>
    <xf numFmtId="43" fontId="5" fillId="0" borderId="0" xfId="2" applyNumberFormat="1" applyFont="1" applyFill="1" applyBorder="1"/>
    <xf numFmtId="165" fontId="5" fillId="0" borderId="0" xfId="2" applyNumberFormat="1" applyFont="1" applyFill="1" applyBorder="1"/>
    <xf numFmtId="1" fontId="6" fillId="0" borderId="0" xfId="3" applyNumberFormat="1" applyFont="1"/>
    <xf numFmtId="2" fontId="6" fillId="0" borderId="0" xfId="3" applyNumberFormat="1" applyFont="1"/>
    <xf numFmtId="168" fontId="5" fillId="0" borderId="0" xfId="4" applyNumberFormat="1" applyFont="1"/>
    <xf numFmtId="165" fontId="5" fillId="0" borderId="0" xfId="5" applyNumberFormat="1" applyFont="1" applyAlignment="1">
      <alignment vertical="center"/>
    </xf>
    <xf numFmtId="165" fontId="5" fillId="0" borderId="12" xfId="1" applyNumberFormat="1" applyFont="1" applyFill="1" applyBorder="1" applyAlignment="1">
      <alignment horizontal="center" vertical="center"/>
    </xf>
    <xf numFmtId="165" fontId="5" fillId="0" borderId="13" xfId="1" applyNumberFormat="1" applyFont="1" applyFill="1" applyBorder="1" applyAlignment="1">
      <alignment horizontal="center" vertical="center"/>
    </xf>
    <xf numFmtId="165" fontId="5" fillId="0" borderId="14" xfId="1" applyNumberFormat="1" applyFont="1" applyFill="1" applyBorder="1" applyAlignment="1">
      <alignment horizontal="center" vertical="center"/>
    </xf>
    <xf numFmtId="168" fontId="5" fillId="0" borderId="12" xfId="1" applyNumberFormat="1" applyFont="1" applyFill="1" applyBorder="1" applyAlignment="1">
      <alignment horizontal="center" vertical="center"/>
    </xf>
    <xf numFmtId="168" fontId="5" fillId="0" borderId="12" xfId="1" applyNumberFormat="1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168" fontId="5" fillId="0" borderId="43" xfId="1" applyNumberFormat="1" applyFont="1" applyFill="1" applyBorder="1" applyAlignment="1">
      <alignment horizontal="center" vertical="center"/>
    </xf>
    <xf numFmtId="168" fontId="5" fillId="0" borderId="14" xfId="1" applyNumberFormat="1" applyFont="1" applyFill="1" applyBorder="1" applyAlignment="1">
      <alignment horizontal="center" vertical="center"/>
    </xf>
    <xf numFmtId="168" fontId="5" fillId="0" borderId="12" xfId="1" applyNumberFormat="1" applyFont="1" applyFill="1" applyBorder="1" applyAlignment="1">
      <alignment horizontal="center"/>
    </xf>
    <xf numFmtId="0" fontId="13" fillId="0" borderId="11" xfId="0" applyFont="1" applyBorder="1"/>
    <xf numFmtId="165" fontId="6" fillId="0" borderId="26" xfId="1" applyNumberFormat="1" applyFont="1" applyFill="1" applyBorder="1"/>
    <xf numFmtId="165" fontId="6" fillId="0" borderId="31" xfId="1" applyNumberFormat="1" applyFont="1" applyFill="1" applyBorder="1"/>
    <xf numFmtId="0" fontId="6" fillId="3" borderId="20" xfId="3" applyFont="1" applyFill="1" applyBorder="1" applyAlignment="1">
      <alignment horizontal="center"/>
    </xf>
    <xf numFmtId="0" fontId="6" fillId="6" borderId="2" xfId="3" applyFont="1" applyFill="1" applyBorder="1" applyAlignment="1">
      <alignment horizontal="center"/>
    </xf>
    <xf numFmtId="165" fontId="5" fillId="0" borderId="39" xfId="1" applyNumberFormat="1" applyFont="1" applyFill="1" applyBorder="1"/>
    <xf numFmtId="165" fontId="5" fillId="0" borderId="47" xfId="1" applyNumberFormat="1" applyFont="1" applyFill="1" applyBorder="1"/>
    <xf numFmtId="168" fontId="13" fillId="0" borderId="12" xfId="0" applyNumberFormat="1" applyFont="1" applyBorder="1" applyAlignment="1">
      <alignment horizontal="center"/>
    </xf>
    <xf numFmtId="1" fontId="13" fillId="0" borderId="13" xfId="0" applyNumberFormat="1" applyFont="1" applyBorder="1"/>
    <xf numFmtId="165" fontId="5" fillId="0" borderId="0" xfId="1" applyNumberFormat="1" applyFont="1" applyFill="1" applyBorder="1" applyAlignment="1">
      <alignment horizontal="center" vertical="center"/>
    </xf>
    <xf numFmtId="0" fontId="6" fillId="3" borderId="0" xfId="3" applyFont="1" applyFill="1"/>
    <xf numFmtId="165" fontId="5" fillId="5" borderId="0" xfId="1" applyNumberFormat="1" applyFont="1" applyFill="1" applyBorder="1"/>
    <xf numFmtId="168" fontId="5" fillId="0" borderId="0" xfId="1" applyNumberFormat="1" applyFont="1" applyBorder="1"/>
    <xf numFmtId="0" fontId="6" fillId="3" borderId="7" xfId="3" applyFont="1" applyFill="1" applyBorder="1" applyAlignment="1">
      <alignment horizontal="center"/>
    </xf>
    <xf numFmtId="0" fontId="6" fillId="6" borderId="36" xfId="3" applyFont="1" applyFill="1" applyBorder="1" applyAlignment="1">
      <alignment horizontal="center"/>
    </xf>
    <xf numFmtId="0" fontId="6" fillId="6" borderId="37" xfId="3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6" fillId="3" borderId="8" xfId="3" applyFont="1" applyFill="1" applyBorder="1" applyAlignment="1">
      <alignment horizontal="center"/>
    </xf>
    <xf numFmtId="0" fontId="6" fillId="3" borderId="9" xfId="3" applyFont="1" applyFill="1" applyBorder="1" applyAlignment="1">
      <alignment horizontal="center"/>
    </xf>
    <xf numFmtId="0" fontId="6" fillId="3" borderId="10" xfId="3" applyFont="1" applyFill="1" applyBorder="1" applyAlignment="1">
      <alignment horizontal="center"/>
    </xf>
    <xf numFmtId="0" fontId="6" fillId="3" borderId="48" xfId="3" applyFont="1" applyFill="1" applyBorder="1" applyAlignment="1">
      <alignment horizontal="center"/>
    </xf>
    <xf numFmtId="0" fontId="6" fillId="3" borderId="12" xfId="3" applyFont="1" applyFill="1" applyBorder="1" applyAlignment="1">
      <alignment horizontal="center"/>
    </xf>
    <xf numFmtId="0" fontId="5" fillId="0" borderId="5" xfId="3" applyFont="1" applyBorder="1"/>
    <xf numFmtId="2" fontId="5" fillId="0" borderId="6" xfId="4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167" fontId="5" fillId="0" borderId="7" xfId="3" applyNumberFormat="1" applyFont="1" applyBorder="1" applyAlignment="1">
      <alignment horizontal="center"/>
    </xf>
    <xf numFmtId="0" fontId="5" fillId="0" borderId="6" xfId="4" applyFont="1" applyBorder="1" applyAlignment="1">
      <alignment horizontal="center"/>
    </xf>
    <xf numFmtId="0" fontId="5" fillId="4" borderId="44" xfId="4" applyFont="1" applyFill="1" applyBorder="1" applyAlignment="1"/>
    <xf numFmtId="0" fontId="6" fillId="3" borderId="37" xfId="3" applyFont="1" applyFill="1" applyBorder="1" applyAlignment="1">
      <alignment horizontal="center"/>
    </xf>
    <xf numFmtId="0" fontId="0" fillId="4" borderId="49" xfId="0" applyFill="1" applyBorder="1"/>
    <xf numFmtId="0" fontId="6" fillId="3" borderId="14" xfId="3" applyFont="1" applyFill="1" applyBorder="1" applyAlignment="1">
      <alignment horizontal="center"/>
    </xf>
    <xf numFmtId="0" fontId="5" fillId="4" borderId="50" xfId="4" applyFont="1" applyFill="1" applyBorder="1" applyAlignment="1"/>
    <xf numFmtId="0" fontId="6" fillId="3" borderId="11" xfId="3" applyFont="1" applyFill="1" applyBorder="1" applyAlignment="1">
      <alignment horizontal="center"/>
    </xf>
    <xf numFmtId="2" fontId="5" fillId="0" borderId="51" xfId="3" applyNumberFormat="1" applyFont="1" applyFill="1" applyBorder="1" applyAlignment="1">
      <alignment horizontal="center"/>
    </xf>
    <xf numFmtId="2" fontId="1" fillId="0" borderId="0" xfId="0" applyNumberFormat="1" applyFont="1"/>
  </cellXfs>
  <cellStyles count="6">
    <cellStyle name="Comma" xfId="1" builtinId="3"/>
    <cellStyle name="Normal" xfId="0" builtinId="0"/>
    <cellStyle name="Normal 2" xfId="4" xr:uid="{00000000-0005-0000-0000-000002000000}"/>
    <cellStyle name="Normal_TEMP_CO" xfId="5" xr:uid="{00000000-0005-0000-0000-000003000000}"/>
    <cellStyle name="Percent" xfId="2" builtinId="5"/>
    <cellStyle name="Style 1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D1048570"/>
  <sheetViews>
    <sheetView tabSelected="1" topLeftCell="A49" zoomScaleNormal="100" workbookViewId="0">
      <selection activeCell="M55" sqref="M55"/>
    </sheetView>
  </sheetViews>
  <sheetFormatPr defaultColWidth="11.09765625" defaultRowHeight="15.6"/>
  <cols>
    <col min="2" max="2" width="35.59765625" bestFit="1" customWidth="1"/>
    <col min="3" max="7" width="0" hidden="1" customWidth="1"/>
    <col min="14" max="14" width="13.59765625" customWidth="1"/>
    <col min="15" max="15" width="33.5" bestFit="1" customWidth="1"/>
    <col min="16" max="20" width="0" hidden="1" customWidth="1"/>
    <col min="24" max="24" width="12.09765625" bestFit="1" customWidth="1"/>
    <col min="26" max="26" width="11.59765625" customWidth="1"/>
    <col min="27" max="27" width="25.19921875" customWidth="1"/>
    <col min="28" max="28" width="14.19921875" customWidth="1"/>
    <col min="29" max="29" width="14.69921875" customWidth="1"/>
    <col min="30" max="30" width="13.69921875" customWidth="1"/>
  </cols>
  <sheetData>
    <row r="1" spans="2:30" ht="16.2" thickBot="1">
      <c r="B1" s="241" t="s">
        <v>135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</row>
    <row r="2" spans="2:30" ht="16.2" thickBot="1">
      <c r="B2" s="243" t="s">
        <v>0</v>
      </c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5"/>
      <c r="N2" s="117"/>
      <c r="O2" s="239" t="s">
        <v>1</v>
      </c>
      <c r="P2" s="240"/>
      <c r="Q2" s="240"/>
      <c r="R2" s="240"/>
      <c r="S2" s="240"/>
      <c r="T2" s="240"/>
      <c r="U2" s="240"/>
      <c r="V2" s="240"/>
      <c r="W2" s="240"/>
      <c r="X2" s="240"/>
      <c r="Y2" s="240"/>
    </row>
    <row r="3" spans="2:30" ht="16.2" thickBot="1">
      <c r="B3" s="118" t="s">
        <v>2</v>
      </c>
      <c r="C3" s="119" t="s">
        <v>3</v>
      </c>
      <c r="D3" s="119" t="s">
        <v>4</v>
      </c>
      <c r="E3" s="119" t="s">
        <v>5</v>
      </c>
      <c r="F3" s="119" t="s">
        <v>6</v>
      </c>
      <c r="G3" s="119" t="s">
        <v>7</v>
      </c>
      <c r="H3" s="119" t="s">
        <v>97</v>
      </c>
      <c r="I3" s="119" t="s">
        <v>101</v>
      </c>
      <c r="J3" s="119" t="s">
        <v>116</v>
      </c>
      <c r="K3" s="238" t="s">
        <v>122</v>
      </c>
      <c r="L3" s="119" t="s">
        <v>123</v>
      </c>
      <c r="M3" s="228" t="s">
        <v>136</v>
      </c>
      <c r="N3" s="120"/>
      <c r="O3" s="191" t="s">
        <v>2</v>
      </c>
      <c r="P3" s="190" t="s">
        <v>3</v>
      </c>
      <c r="Q3" s="190" t="s">
        <v>4</v>
      </c>
      <c r="R3" s="190" t="s">
        <v>5</v>
      </c>
      <c r="S3" s="190" t="s">
        <v>6</v>
      </c>
      <c r="T3" s="190" t="s">
        <v>7</v>
      </c>
      <c r="U3" s="192" t="s">
        <v>97</v>
      </c>
      <c r="V3" s="190" t="s">
        <v>101</v>
      </c>
      <c r="W3" s="193" t="s">
        <v>116</v>
      </c>
      <c r="X3" s="229" t="s">
        <v>122</v>
      </c>
      <c r="Y3" s="190" t="s">
        <v>123</v>
      </c>
    </row>
    <row r="4" spans="2:30">
      <c r="B4" s="121" t="s">
        <v>8</v>
      </c>
      <c r="C4" s="111">
        <v>9551</v>
      </c>
      <c r="D4" s="111">
        <v>9235</v>
      </c>
      <c r="E4" s="111">
        <v>11411</v>
      </c>
      <c r="F4" s="111">
        <v>11024</v>
      </c>
      <c r="G4" s="16">
        <v>13047</v>
      </c>
      <c r="H4" s="111">
        <v>500.96600000000001</v>
      </c>
      <c r="I4" s="16">
        <v>3126.098</v>
      </c>
      <c r="J4" s="16">
        <v>6242.3609999999999</v>
      </c>
      <c r="K4" s="83">
        <v>8457.4</v>
      </c>
      <c r="L4" s="16">
        <v>13011.4</v>
      </c>
      <c r="M4" s="16">
        <v>5271.5</v>
      </c>
      <c r="N4" s="114"/>
      <c r="O4" s="122" t="s">
        <v>9</v>
      </c>
      <c r="P4" s="48">
        <v>359</v>
      </c>
      <c r="Q4" s="48">
        <v>362</v>
      </c>
      <c r="R4" s="48">
        <v>365</v>
      </c>
      <c r="S4" s="48">
        <v>366</v>
      </c>
      <c r="T4" s="48">
        <v>366</v>
      </c>
      <c r="U4" s="48">
        <v>898.69799999999998</v>
      </c>
      <c r="V4" s="78">
        <v>988.69799999999998</v>
      </c>
      <c r="W4" s="78">
        <v>1144.6289999999999</v>
      </c>
      <c r="X4" s="179">
        <v>1165.5</v>
      </c>
      <c r="Y4" s="183">
        <v>1439.5</v>
      </c>
    </row>
    <row r="5" spans="2:30">
      <c r="B5" s="123" t="s">
        <v>10</v>
      </c>
      <c r="C5" s="60">
        <f t="shared" ref="C5:G5" si="0">SUM(C4:C4)</f>
        <v>9551</v>
      </c>
      <c r="D5" s="60">
        <f t="shared" si="0"/>
        <v>9235</v>
      </c>
      <c r="E5" s="60">
        <f t="shared" si="0"/>
        <v>11411</v>
      </c>
      <c r="F5" s="60">
        <f t="shared" si="0"/>
        <v>11024</v>
      </c>
      <c r="G5" s="60">
        <f t="shared" si="0"/>
        <v>13047</v>
      </c>
      <c r="H5" s="60">
        <f t="shared" ref="H5:M5" si="1">H4</f>
        <v>500.96600000000001</v>
      </c>
      <c r="I5" s="60">
        <f t="shared" si="1"/>
        <v>3126.098</v>
      </c>
      <c r="J5" s="60">
        <f t="shared" si="1"/>
        <v>6242.3609999999999</v>
      </c>
      <c r="K5" s="84">
        <f t="shared" si="1"/>
        <v>8457.4</v>
      </c>
      <c r="L5" s="60">
        <f t="shared" si="1"/>
        <v>13011.4</v>
      </c>
      <c r="M5" s="60">
        <f t="shared" si="1"/>
        <v>5271.5</v>
      </c>
      <c r="N5" s="124"/>
      <c r="O5" s="125" t="s">
        <v>11</v>
      </c>
      <c r="P5" s="28">
        <v>6737</v>
      </c>
      <c r="Q5" s="126">
        <v>6899</v>
      </c>
      <c r="R5" s="126">
        <v>7085</v>
      </c>
      <c r="S5" s="126">
        <v>6826</v>
      </c>
      <c r="T5" s="126">
        <v>7652</v>
      </c>
      <c r="U5" s="126">
        <v>453.69499999999999</v>
      </c>
      <c r="V5" s="50">
        <v>964.94500000000005</v>
      </c>
      <c r="W5" s="50">
        <v>2967.3519999999999</v>
      </c>
      <c r="X5" s="180">
        <v>5314.4</v>
      </c>
      <c r="Y5" s="184">
        <v>15269</v>
      </c>
    </row>
    <row r="6" spans="2:30">
      <c r="B6" s="127" t="s">
        <v>12</v>
      </c>
      <c r="C6" s="61" t="s">
        <v>13</v>
      </c>
      <c r="D6" s="61">
        <f t="shared" ref="D6:F6" si="2">+D5/C5-1</f>
        <v>-3.3085540781070066E-2</v>
      </c>
      <c r="E6" s="61">
        <f t="shared" si="2"/>
        <v>0.23562533838657274</v>
      </c>
      <c r="F6" s="61">
        <f t="shared" si="2"/>
        <v>-3.3914643764788366E-2</v>
      </c>
      <c r="G6" s="61">
        <f t="shared" ref="G6" si="3">+G5/F5-1</f>
        <v>0.18350870827285926</v>
      </c>
      <c r="H6" s="61"/>
      <c r="I6" s="61">
        <f>+I5/H5-1</f>
        <v>5.2401400494245118</v>
      </c>
      <c r="J6" s="61">
        <f>+J5/I5-1</f>
        <v>0.99685390541179442</v>
      </c>
      <c r="K6" s="85">
        <f>+K5/J5-1</f>
        <v>0.35483993956773729</v>
      </c>
      <c r="L6" s="61">
        <f>+L5/K5-1</f>
        <v>0.53846335753304797</v>
      </c>
      <c r="M6" s="61" t="s">
        <v>13</v>
      </c>
      <c r="N6" s="124"/>
      <c r="O6" s="123" t="s">
        <v>14</v>
      </c>
      <c r="P6" s="65">
        <f t="shared" ref="P6:Q6" si="4">SUM(P4:P5)</f>
        <v>7096</v>
      </c>
      <c r="Q6" s="65">
        <f t="shared" si="4"/>
        <v>7261</v>
      </c>
      <c r="R6" s="65">
        <f t="shared" ref="R6:T6" si="5">SUM(R4:R5)</f>
        <v>7450</v>
      </c>
      <c r="S6" s="65">
        <f t="shared" si="5"/>
        <v>7192</v>
      </c>
      <c r="T6" s="65">
        <f t="shared" si="5"/>
        <v>8018</v>
      </c>
      <c r="U6" s="65">
        <f>SUM(U4:U5)</f>
        <v>1352.393</v>
      </c>
      <c r="V6" s="65">
        <f>SUM(V4:V5)</f>
        <v>1953.643</v>
      </c>
      <c r="W6" s="65">
        <f>SUM(W4:W5)</f>
        <v>4111.9809999999998</v>
      </c>
      <c r="X6" s="181">
        <f>SUM(X4:X5)</f>
        <v>6479.9</v>
      </c>
      <c r="Y6" s="57">
        <f>SUM(Y4:Y5)</f>
        <v>16708.5</v>
      </c>
    </row>
    <row r="7" spans="2:30" ht="15" customHeight="1">
      <c r="B7" s="128" t="s">
        <v>93</v>
      </c>
      <c r="C7" s="62" t="s">
        <v>13</v>
      </c>
      <c r="D7" s="62" t="s">
        <v>13</v>
      </c>
      <c r="E7" s="62" t="s">
        <v>13</v>
      </c>
      <c r="F7" s="62">
        <f t="shared" ref="F7" si="6">+((F5/C5)^(1/3)-1)</f>
        <v>4.8970930856131467E-2</v>
      </c>
      <c r="G7" s="62">
        <f t="shared" ref="G7" si="7">+((G5/D5)^(1/3)-1)</f>
        <v>0.12208197905651308</v>
      </c>
      <c r="H7" s="62"/>
      <c r="I7" s="86"/>
      <c r="J7" s="62"/>
      <c r="K7" s="86">
        <f>+((K5/H5)^(1/3)-1)</f>
        <v>1.5653278334044098</v>
      </c>
      <c r="L7" s="62">
        <f>+((L5/I5)^(1/3)-1)</f>
        <v>0.6085719078300571</v>
      </c>
      <c r="M7" s="62" t="s">
        <v>13</v>
      </c>
      <c r="N7" s="129"/>
      <c r="O7" s="123" t="s">
        <v>18</v>
      </c>
      <c r="P7" s="65">
        <f t="shared" ref="P7:T7" si="8">P6+P41+P48</f>
        <v>7140</v>
      </c>
      <c r="Q7" s="65">
        <f t="shared" si="8"/>
        <v>7320</v>
      </c>
      <c r="R7" s="65">
        <f t="shared" si="8"/>
        <v>7450</v>
      </c>
      <c r="S7" s="65">
        <f t="shared" si="8"/>
        <v>7192</v>
      </c>
      <c r="T7" s="65">
        <f t="shared" si="8"/>
        <v>8018</v>
      </c>
      <c r="U7" s="65">
        <f>U53-U39</f>
        <v>1620.3179999999998</v>
      </c>
      <c r="V7" s="65">
        <f t="shared" ref="V7:Y7" si="9">V53-V39</f>
        <v>2043.5199999999998</v>
      </c>
      <c r="W7" s="65">
        <f t="shared" si="9"/>
        <v>4317.0599999999995</v>
      </c>
      <c r="X7" s="65">
        <f t="shared" si="9"/>
        <v>7081.7999999999984</v>
      </c>
      <c r="Y7" s="65">
        <f t="shared" si="9"/>
        <v>17662.900000000001</v>
      </c>
      <c r="Z7" s="185"/>
    </row>
    <row r="8" spans="2:30">
      <c r="B8" s="121" t="s">
        <v>16</v>
      </c>
      <c r="C8" s="63">
        <f t="shared" ref="C8:G8" si="10">SUM(C9:C14)</f>
        <v>8864</v>
      </c>
      <c r="D8" s="63">
        <f t="shared" si="10"/>
        <v>8720</v>
      </c>
      <c r="E8" s="63">
        <f t="shared" si="10"/>
        <v>10618</v>
      </c>
      <c r="F8" s="63">
        <f t="shared" si="10"/>
        <v>10244</v>
      </c>
      <c r="G8" s="63">
        <f t="shared" si="10"/>
        <v>11923</v>
      </c>
      <c r="H8" s="63">
        <f t="shared" ref="H8:M8" si="11">SUM(H9:H14)</f>
        <v>453.83600000000001</v>
      </c>
      <c r="I8" s="63">
        <f t="shared" si="11"/>
        <v>2603.6239999999998</v>
      </c>
      <c r="J8" s="63">
        <f t="shared" si="11"/>
        <v>5232.3920000000007</v>
      </c>
      <c r="K8" s="87">
        <f t="shared" si="11"/>
        <v>7105.7</v>
      </c>
      <c r="L8" s="63">
        <f t="shared" si="11"/>
        <v>11119.1</v>
      </c>
      <c r="M8" s="63">
        <f t="shared" si="11"/>
        <v>4610</v>
      </c>
      <c r="N8" s="130"/>
      <c r="O8" s="125" t="s">
        <v>98</v>
      </c>
      <c r="P8" s="50">
        <v>2.8</v>
      </c>
      <c r="Q8" s="50">
        <v>6.6</v>
      </c>
      <c r="R8" s="50">
        <v>6.64</v>
      </c>
      <c r="S8" s="50">
        <v>6.6970000000000001</v>
      </c>
      <c r="T8" s="50">
        <v>6.8150000000000004</v>
      </c>
      <c r="U8" s="218">
        <v>0</v>
      </c>
      <c r="V8" s="219">
        <v>0</v>
      </c>
      <c r="W8" s="219">
        <v>0</v>
      </c>
      <c r="X8" s="170">
        <v>177.4</v>
      </c>
      <c r="Y8" s="175">
        <v>124.6</v>
      </c>
      <c r="Z8" s="185"/>
      <c r="AA8" s="185"/>
      <c r="AB8" s="185"/>
      <c r="AC8" s="185"/>
      <c r="AD8" s="185"/>
    </row>
    <row r="9" spans="2:30">
      <c r="B9" s="125" t="s">
        <v>92</v>
      </c>
      <c r="C9" s="64">
        <v>4770</v>
      </c>
      <c r="D9" s="64">
        <v>4712</v>
      </c>
      <c r="E9" s="64">
        <v>6013</v>
      </c>
      <c r="F9" s="64">
        <v>5670</v>
      </c>
      <c r="G9" s="131">
        <v>7310</v>
      </c>
      <c r="H9" s="131">
        <v>384.37299999999999</v>
      </c>
      <c r="I9" s="64">
        <v>2296.547</v>
      </c>
      <c r="J9" s="64">
        <v>3364.6660000000002</v>
      </c>
      <c r="K9" s="88">
        <v>4284.3</v>
      </c>
      <c r="L9" s="64">
        <v>6814.8</v>
      </c>
      <c r="M9" s="64">
        <f>2452.6+685.7</f>
        <v>3138.3</v>
      </c>
      <c r="N9" s="130"/>
      <c r="O9" s="121" t="s">
        <v>20</v>
      </c>
      <c r="P9" s="56">
        <f t="shared" ref="P9:X9" si="12">C60</f>
        <v>13704</v>
      </c>
      <c r="Q9" s="56">
        <f t="shared" si="12"/>
        <v>13831.36</v>
      </c>
      <c r="R9" s="56">
        <f t="shared" si="12"/>
        <v>27703.519999999997</v>
      </c>
      <c r="S9" s="56">
        <f t="shared" si="12"/>
        <v>9621.6549999999988</v>
      </c>
      <c r="T9" s="56">
        <f t="shared" si="12"/>
        <v>34648.879999999997</v>
      </c>
      <c r="U9" s="56">
        <f t="shared" si="12"/>
        <v>12581.61988</v>
      </c>
      <c r="V9" s="49">
        <f t="shared" si="12"/>
        <v>18120.493119999999</v>
      </c>
      <c r="W9" s="49">
        <f t="shared" si="12"/>
        <v>55431.293709999998</v>
      </c>
      <c r="X9" s="182">
        <f t="shared" si="12"/>
        <v>66670.996400000004</v>
      </c>
      <c r="Y9" s="167">
        <f t="shared" ref="Y9" si="13">L60</f>
        <v>52324.396283919988</v>
      </c>
      <c r="Z9" s="185"/>
      <c r="AA9" s="185"/>
      <c r="AB9" s="185"/>
      <c r="AC9" s="185"/>
      <c r="AD9" s="185"/>
    </row>
    <row r="10" spans="2:30">
      <c r="B10" s="125" t="s">
        <v>132</v>
      </c>
      <c r="C10" s="64"/>
      <c r="D10" s="64"/>
      <c r="E10" s="64"/>
      <c r="F10" s="64"/>
      <c r="G10" s="131"/>
      <c r="H10" s="2">
        <v>0</v>
      </c>
      <c r="I10" s="2">
        <v>0</v>
      </c>
      <c r="J10" s="64">
        <v>333.279</v>
      </c>
      <c r="K10" s="88">
        <v>593.5</v>
      </c>
      <c r="L10" s="64">
        <v>927.3</v>
      </c>
      <c r="M10" s="64">
        <v>173.7</v>
      </c>
      <c r="N10" s="130"/>
      <c r="O10" s="121"/>
      <c r="P10" s="56"/>
      <c r="Q10" s="56"/>
      <c r="R10" s="56"/>
      <c r="S10" s="56"/>
      <c r="T10" s="56"/>
      <c r="U10" s="56"/>
      <c r="V10" s="49"/>
      <c r="W10" s="49"/>
      <c r="X10" s="169"/>
      <c r="Y10" s="167"/>
      <c r="AC10" s="185"/>
      <c r="AD10" s="185"/>
    </row>
    <row r="11" spans="2:30">
      <c r="B11" s="125" t="s">
        <v>17</v>
      </c>
      <c r="C11" s="64">
        <v>-99</v>
      </c>
      <c r="D11" s="64">
        <v>-19</v>
      </c>
      <c r="E11" s="64">
        <v>82</v>
      </c>
      <c r="F11" s="64">
        <v>-146</v>
      </c>
      <c r="G11" s="131">
        <v>51</v>
      </c>
      <c r="H11" s="131">
        <v>-274.827</v>
      </c>
      <c r="I11" s="64">
        <v>-415.06799999999998</v>
      </c>
      <c r="J11" s="64">
        <v>328.55200000000002</v>
      </c>
      <c r="K11" s="88">
        <v>476.9</v>
      </c>
      <c r="L11" s="64">
        <v>-195.8</v>
      </c>
      <c r="M11" s="64">
        <f>480.4+234</f>
        <v>714.4</v>
      </c>
      <c r="N11" s="130"/>
      <c r="O11" s="14"/>
      <c r="P11" s="28"/>
      <c r="Q11" s="28"/>
      <c r="R11" s="28"/>
      <c r="S11" s="28"/>
      <c r="T11" s="28"/>
      <c r="U11" s="28"/>
      <c r="V11" s="50"/>
      <c r="W11" s="50"/>
      <c r="X11" s="168"/>
      <c r="Y11" s="174"/>
    </row>
    <row r="12" spans="2:30">
      <c r="B12" s="125" t="s">
        <v>19</v>
      </c>
      <c r="C12" s="1">
        <v>1480</v>
      </c>
      <c r="D12" s="1">
        <v>1495</v>
      </c>
      <c r="E12" s="1">
        <v>1606</v>
      </c>
      <c r="F12" s="1">
        <v>1640</v>
      </c>
      <c r="G12" s="110">
        <v>1722</v>
      </c>
      <c r="H12" s="110">
        <v>138.095</v>
      </c>
      <c r="I12" s="2">
        <v>190.64599999999999</v>
      </c>
      <c r="J12" s="2">
        <v>300.47500000000002</v>
      </c>
      <c r="K12" s="9">
        <v>502.5</v>
      </c>
      <c r="L12" s="2">
        <v>927.9</v>
      </c>
      <c r="M12" s="2">
        <v>305.5</v>
      </c>
      <c r="N12" s="130"/>
      <c r="O12" s="121" t="s">
        <v>88</v>
      </c>
      <c r="P12" s="49">
        <f t="shared" ref="P12:T12" si="14">SUM(P13:P26)</f>
        <v>3521</v>
      </c>
      <c r="Q12" s="49">
        <f t="shared" si="14"/>
        <v>3413</v>
      </c>
      <c r="R12" s="49">
        <f t="shared" si="14"/>
        <v>3862</v>
      </c>
      <c r="S12" s="49">
        <f t="shared" si="14"/>
        <v>3818</v>
      </c>
      <c r="T12" s="49">
        <f t="shared" si="14"/>
        <v>3585</v>
      </c>
      <c r="U12" s="49">
        <f>SUM(U13:U26)</f>
        <v>294.41400000000004</v>
      </c>
      <c r="V12" s="49">
        <f>SUM(V13:V26)</f>
        <v>621.69499999999994</v>
      </c>
      <c r="W12" s="49">
        <f>SUM(W13:W26)</f>
        <v>1230.0189999999998</v>
      </c>
      <c r="X12" s="169">
        <f>SUM(X13:X26)</f>
        <v>3477.1</v>
      </c>
      <c r="Y12" s="167">
        <f>SUM(Y13:Y26)</f>
        <v>7003.2000000000007</v>
      </c>
    </row>
    <row r="13" spans="2:30">
      <c r="B13" s="125" t="s">
        <v>131</v>
      </c>
      <c r="C13" s="1">
        <v>402</v>
      </c>
      <c r="D13" s="1">
        <v>69</v>
      </c>
      <c r="E13" s="1">
        <v>0</v>
      </c>
      <c r="F13" s="1">
        <v>0</v>
      </c>
      <c r="G13" s="110">
        <v>0</v>
      </c>
      <c r="H13" s="110">
        <v>206.19499999999999</v>
      </c>
      <c r="I13" s="2">
        <v>531.49900000000002</v>
      </c>
      <c r="J13" s="2">
        <v>905.42</v>
      </c>
      <c r="K13" s="9">
        <v>1248.5</v>
      </c>
      <c r="L13" s="2">
        <v>2644.9</v>
      </c>
      <c r="M13" s="2">
        <v>171.5</v>
      </c>
      <c r="N13" s="130"/>
      <c r="O13" s="125" t="s">
        <v>22</v>
      </c>
      <c r="P13" s="28">
        <v>1915</v>
      </c>
      <c r="Q13" s="50">
        <v>2198</v>
      </c>
      <c r="R13" s="50">
        <v>2128</v>
      </c>
      <c r="S13" s="50">
        <v>2167</v>
      </c>
      <c r="T13" s="50">
        <v>2064</v>
      </c>
      <c r="U13" s="28">
        <v>92.281000000000006</v>
      </c>
      <c r="V13" s="50">
        <v>270.72399999999999</v>
      </c>
      <c r="W13" s="50">
        <v>619.4</v>
      </c>
      <c r="X13" s="170">
        <v>789.1</v>
      </c>
      <c r="Y13" s="183">
        <v>1820.2</v>
      </c>
    </row>
    <row r="14" spans="2:30">
      <c r="B14" s="125" t="s">
        <v>100</v>
      </c>
      <c r="C14" s="1">
        <v>2311</v>
      </c>
      <c r="D14" s="1">
        <v>2463</v>
      </c>
      <c r="E14" s="1">
        <v>2917</v>
      </c>
      <c r="F14" s="1">
        <v>3080</v>
      </c>
      <c r="G14" s="110">
        <v>2840</v>
      </c>
      <c r="H14" s="2">
        <v>0</v>
      </c>
      <c r="I14" s="2">
        <v>0</v>
      </c>
      <c r="J14" s="215" t="s">
        <v>121</v>
      </c>
      <c r="K14" s="215">
        <v>0</v>
      </c>
      <c r="L14" s="215" t="s">
        <v>121</v>
      </c>
      <c r="M14" s="2">
        <f>106.6</f>
        <v>106.6</v>
      </c>
      <c r="N14" s="130"/>
      <c r="O14" s="125" t="s">
        <v>23</v>
      </c>
      <c r="P14" s="28">
        <v>315</v>
      </c>
      <c r="Q14" s="28">
        <v>42</v>
      </c>
      <c r="R14" s="28">
        <v>22</v>
      </c>
      <c r="S14" s="28">
        <v>21</v>
      </c>
      <c r="T14" s="28">
        <v>4</v>
      </c>
      <c r="U14" s="28">
        <v>37.362000000000002</v>
      </c>
      <c r="V14" s="50">
        <v>255.53100000000001</v>
      </c>
      <c r="W14" s="50">
        <v>106.46599999999999</v>
      </c>
      <c r="X14" s="170">
        <v>630.9</v>
      </c>
      <c r="Y14" s="175">
        <v>711.4</v>
      </c>
      <c r="Z14" s="185"/>
    </row>
    <row r="15" spans="2:30">
      <c r="B15" s="123" t="s">
        <v>21</v>
      </c>
      <c r="C15" s="132">
        <f t="shared" ref="C15:F15" si="15">+C5-C8</f>
        <v>687</v>
      </c>
      <c r="D15" s="132">
        <f t="shared" si="15"/>
        <v>515</v>
      </c>
      <c r="E15" s="132">
        <f t="shared" si="15"/>
        <v>793</v>
      </c>
      <c r="F15" s="132">
        <f t="shared" si="15"/>
        <v>780</v>
      </c>
      <c r="G15" s="65">
        <f>+G5-G8</f>
        <v>1124</v>
      </c>
      <c r="H15" s="65">
        <f t="shared" ref="H15:M15" si="16">H5-H8</f>
        <v>47.129999999999995</v>
      </c>
      <c r="I15" s="65">
        <f t="shared" si="16"/>
        <v>522.47400000000016</v>
      </c>
      <c r="J15" s="65">
        <f t="shared" si="16"/>
        <v>1009.9689999999991</v>
      </c>
      <c r="K15" s="89">
        <f t="shared" si="16"/>
        <v>1351.6999999999998</v>
      </c>
      <c r="L15" s="65">
        <f t="shared" si="16"/>
        <v>1892.2999999999993</v>
      </c>
      <c r="M15" s="65">
        <f t="shared" si="16"/>
        <v>661.5</v>
      </c>
      <c r="N15" s="133"/>
      <c r="O15" s="125" t="s">
        <v>85</v>
      </c>
      <c r="P15" s="28">
        <v>137</v>
      </c>
      <c r="Q15" s="28">
        <v>137</v>
      </c>
      <c r="R15" s="28">
        <v>137</v>
      </c>
      <c r="S15" s="28">
        <v>137</v>
      </c>
      <c r="T15" s="28">
        <v>137</v>
      </c>
      <c r="U15" s="219" t="s">
        <v>121</v>
      </c>
      <c r="V15" s="218" t="s">
        <v>121</v>
      </c>
      <c r="W15" s="218" t="s">
        <v>121</v>
      </c>
      <c r="X15" s="220" t="s">
        <v>121</v>
      </c>
      <c r="Y15" s="221" t="s">
        <v>121</v>
      </c>
      <c r="Z15" s="185"/>
    </row>
    <row r="16" spans="2:30">
      <c r="B16" s="127" t="s">
        <v>12</v>
      </c>
      <c r="C16" s="61" t="s">
        <v>13</v>
      </c>
      <c r="D16" s="61">
        <f t="shared" ref="D16:G16" si="17">+D15/C15-1</f>
        <v>-0.25036390101892281</v>
      </c>
      <c r="E16" s="61">
        <f t="shared" si="17"/>
        <v>0.53980582524271847</v>
      </c>
      <c r="F16" s="61">
        <f t="shared" si="17"/>
        <v>-1.6393442622950838E-2</v>
      </c>
      <c r="G16" s="61">
        <f t="shared" si="17"/>
        <v>0.44102564102564101</v>
      </c>
      <c r="H16" s="61"/>
      <c r="I16" s="85">
        <f>+I15/H15-1</f>
        <v>10.085805219605351</v>
      </c>
      <c r="J16" s="85">
        <f t="shared" ref="J16" si="18">+J15/I15-1</f>
        <v>0.93305121403170088</v>
      </c>
      <c r="K16" s="85">
        <f>+K15/J15-1</f>
        <v>0.33835790999525828</v>
      </c>
      <c r="L16" s="61">
        <f>+L15/K15-1</f>
        <v>0.39994081526966019</v>
      </c>
      <c r="M16" s="61" t="s">
        <v>13</v>
      </c>
      <c r="N16" s="134"/>
      <c r="O16" s="125" t="s">
        <v>124</v>
      </c>
      <c r="P16" s="28"/>
      <c r="Q16" s="28"/>
      <c r="R16" s="28"/>
      <c r="S16" s="28"/>
      <c r="T16" s="28"/>
      <c r="U16" s="28">
        <v>37.637999999999998</v>
      </c>
      <c r="V16" s="50">
        <v>53.045000000000002</v>
      </c>
      <c r="W16" s="50">
        <v>145.88999999999999</v>
      </c>
      <c r="X16" s="170">
        <v>249.7</v>
      </c>
      <c r="Y16" s="183">
        <v>758</v>
      </c>
      <c r="Z16" s="185"/>
    </row>
    <row r="17" spans="2:26">
      <c r="B17" s="128" t="s">
        <v>93</v>
      </c>
      <c r="C17" s="62" t="s">
        <v>13</v>
      </c>
      <c r="D17" s="62" t="s">
        <v>13</v>
      </c>
      <c r="E17" s="62" t="s">
        <v>13</v>
      </c>
      <c r="F17" s="62">
        <f t="shared" ref="F17:J17" si="19">+((F15/C15)^(1/3)-1)</f>
        <v>4.3228128838227686E-2</v>
      </c>
      <c r="G17" s="62">
        <f t="shared" si="19"/>
        <v>0.29713853295841752</v>
      </c>
      <c r="H17" s="62"/>
      <c r="I17" s="62">
        <f t="shared" si="19"/>
        <v>-0.12503631757225631</v>
      </c>
      <c r="J17" s="62">
        <f t="shared" si="19"/>
        <v>-3.5029779835890174E-2</v>
      </c>
      <c r="K17" s="86">
        <f>+((K15/H15)^(1/3)-1)</f>
        <v>2.0609832846024636</v>
      </c>
      <c r="L17" s="62">
        <f>+((L15/I15)^(1/3)-1)</f>
        <v>0.53570725268091013</v>
      </c>
      <c r="M17" s="62" t="s">
        <v>13</v>
      </c>
      <c r="N17" s="134"/>
      <c r="O17" s="125" t="s">
        <v>125</v>
      </c>
      <c r="P17" s="28">
        <v>626</v>
      </c>
      <c r="Q17" s="28">
        <v>626</v>
      </c>
      <c r="R17" s="28">
        <v>626</v>
      </c>
      <c r="S17" s="28">
        <v>626</v>
      </c>
      <c r="T17" s="28">
        <v>626</v>
      </c>
      <c r="U17" s="28">
        <v>9.5980000000000008</v>
      </c>
      <c r="V17" s="50">
        <v>9.5980000000000008</v>
      </c>
      <c r="W17" s="50">
        <v>9.5980000000000008</v>
      </c>
      <c r="X17" s="170">
        <v>1227.8</v>
      </c>
      <c r="Y17" s="175">
        <v>1669.5</v>
      </c>
      <c r="Z17" s="200"/>
    </row>
    <row r="18" spans="2:26">
      <c r="B18" s="135" t="s">
        <v>24</v>
      </c>
      <c r="C18" s="66">
        <f>+C15/C5</f>
        <v>7.1929640875301015E-2</v>
      </c>
      <c r="D18" s="66">
        <f>+D15/D5</f>
        <v>5.576610720086627E-2</v>
      </c>
      <c r="E18" s="66">
        <f>+E15/E5</f>
        <v>6.9494347559372532E-2</v>
      </c>
      <c r="F18" s="66">
        <f>+F15/F5</f>
        <v>7.0754716981132074E-2</v>
      </c>
      <c r="G18" s="66">
        <f>+G15/G5</f>
        <v>8.6150072813673637E-2</v>
      </c>
      <c r="H18" s="66">
        <f t="shared" ref="H18:M18" si="20">H15/H5</f>
        <v>9.4078240838699617E-2</v>
      </c>
      <c r="I18" s="66">
        <f t="shared" si="20"/>
        <v>0.16713295616452209</v>
      </c>
      <c r="J18" s="66">
        <f t="shared" si="20"/>
        <v>0.16179278961918403</v>
      </c>
      <c r="K18" s="90">
        <f t="shared" si="20"/>
        <v>0.15982453236219168</v>
      </c>
      <c r="L18" s="66">
        <f t="shared" si="20"/>
        <v>0.14543400402723761</v>
      </c>
      <c r="M18" s="66">
        <f t="shared" si="20"/>
        <v>0.12548610452432893</v>
      </c>
      <c r="N18" s="134"/>
      <c r="O18" s="125" t="s">
        <v>126</v>
      </c>
      <c r="P18" s="28">
        <v>20</v>
      </c>
      <c r="Q18" s="28">
        <v>11</v>
      </c>
      <c r="R18" s="28">
        <v>9</v>
      </c>
      <c r="S18" s="28">
        <v>8</v>
      </c>
      <c r="T18" s="28">
        <v>11</v>
      </c>
      <c r="U18" s="219" t="s">
        <v>121</v>
      </c>
      <c r="V18" s="218" t="s">
        <v>121</v>
      </c>
      <c r="W18" s="218" t="s">
        <v>121</v>
      </c>
      <c r="X18" s="172">
        <v>66.8</v>
      </c>
      <c r="Y18" s="177">
        <f>61.7</f>
        <v>61.7</v>
      </c>
      <c r="Z18" s="185"/>
    </row>
    <row r="19" spans="2:26">
      <c r="B19" s="125" t="s">
        <v>25</v>
      </c>
      <c r="C19" s="137">
        <v>221</v>
      </c>
      <c r="D19" s="137">
        <v>241</v>
      </c>
      <c r="E19" s="137">
        <v>229</v>
      </c>
      <c r="F19" s="137">
        <v>218</v>
      </c>
      <c r="G19" s="138">
        <v>221</v>
      </c>
      <c r="H19" s="138">
        <v>13.372</v>
      </c>
      <c r="I19" s="67">
        <v>23.826000000000001</v>
      </c>
      <c r="J19" s="67">
        <v>40.456000000000003</v>
      </c>
      <c r="K19" s="91">
        <v>96.6</v>
      </c>
      <c r="L19" s="67">
        <v>221.9</v>
      </c>
      <c r="M19" s="67">
        <v>69.8</v>
      </c>
      <c r="N19" s="136"/>
      <c r="O19" s="125" t="s">
        <v>127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  <c r="U19" s="219" t="s">
        <v>121</v>
      </c>
      <c r="V19" s="218" t="s">
        <v>121</v>
      </c>
      <c r="W19" s="218" t="s">
        <v>121</v>
      </c>
      <c r="X19" s="222" t="s">
        <v>121</v>
      </c>
      <c r="Y19" s="223" t="s">
        <v>121</v>
      </c>
    </row>
    <row r="20" spans="2:26">
      <c r="B20" s="125" t="s">
        <v>26</v>
      </c>
      <c r="C20" s="137">
        <v>13</v>
      </c>
      <c r="D20" s="137">
        <v>11</v>
      </c>
      <c r="E20" s="137">
        <v>8</v>
      </c>
      <c r="F20" s="137">
        <v>31</v>
      </c>
      <c r="G20" s="137">
        <v>29</v>
      </c>
      <c r="H20" s="137">
        <v>10.19</v>
      </c>
      <c r="I20" s="67">
        <v>39.415999999999997</v>
      </c>
      <c r="J20" s="67">
        <v>41.694000000000003</v>
      </c>
      <c r="K20" s="91">
        <v>85.3</v>
      </c>
      <c r="L20" s="67">
        <v>139.80000000000001</v>
      </c>
      <c r="M20" s="67">
        <v>32.6</v>
      </c>
      <c r="N20" s="130"/>
      <c r="O20" s="125" t="s">
        <v>128</v>
      </c>
      <c r="P20" s="28"/>
      <c r="Q20" s="28"/>
      <c r="R20" s="28"/>
      <c r="S20" s="28"/>
      <c r="T20" s="28"/>
      <c r="U20" s="28"/>
      <c r="V20" s="50"/>
      <c r="W20" s="50"/>
      <c r="X20" s="168"/>
      <c r="Y20" s="174"/>
    </row>
    <row r="21" spans="2:26">
      <c r="B21" s="125" t="s">
        <v>27</v>
      </c>
      <c r="C21" s="139">
        <v>222</v>
      </c>
      <c r="D21" s="140">
        <v>267</v>
      </c>
      <c r="E21" s="140">
        <v>323</v>
      </c>
      <c r="F21" s="140">
        <v>300</v>
      </c>
      <c r="G21" s="140">
        <v>257</v>
      </c>
      <c r="H21" s="140">
        <v>97.507000000000005</v>
      </c>
      <c r="I21" s="68">
        <v>57.963000000000001</v>
      </c>
      <c r="J21" s="68">
        <v>74.400000000000006</v>
      </c>
      <c r="K21" s="92">
        <v>241.6</v>
      </c>
      <c r="L21" s="68">
        <v>498.4</v>
      </c>
      <c r="M21" s="68">
        <v>130.80000000000001</v>
      </c>
      <c r="N21" s="130"/>
      <c r="O21" s="43" t="s">
        <v>86</v>
      </c>
      <c r="P21" s="28">
        <v>0</v>
      </c>
      <c r="Q21" s="28">
        <v>100</v>
      </c>
      <c r="R21" s="28">
        <v>448</v>
      </c>
      <c r="S21" s="28">
        <v>398</v>
      </c>
      <c r="T21" s="28">
        <v>398</v>
      </c>
      <c r="U21" s="219" t="s">
        <v>121</v>
      </c>
      <c r="V21" s="218" t="s">
        <v>121</v>
      </c>
      <c r="W21" s="50">
        <v>49.000999999999998</v>
      </c>
      <c r="X21" s="170">
        <v>158.69999999999999</v>
      </c>
      <c r="Y21" s="175">
        <v>765.3</v>
      </c>
    </row>
    <row r="22" spans="2:26">
      <c r="B22" s="125" t="s">
        <v>120</v>
      </c>
      <c r="C22" s="139"/>
      <c r="D22" s="140"/>
      <c r="E22" s="140"/>
      <c r="F22" s="140"/>
      <c r="G22" s="140"/>
      <c r="H22" s="140">
        <v>0</v>
      </c>
      <c r="I22" s="68">
        <v>25</v>
      </c>
      <c r="J22" s="215">
        <v>0</v>
      </c>
      <c r="K22" s="216">
        <v>0</v>
      </c>
      <c r="L22" s="215">
        <v>0</v>
      </c>
      <c r="M22" s="215">
        <v>0</v>
      </c>
      <c r="N22" s="130"/>
      <c r="O22" s="44" t="s">
        <v>87</v>
      </c>
      <c r="P22" s="28">
        <v>61</v>
      </c>
      <c r="Q22" s="28">
        <v>72</v>
      </c>
      <c r="R22" s="28">
        <v>50</v>
      </c>
      <c r="S22" s="28">
        <v>60</v>
      </c>
      <c r="T22" s="28">
        <v>66</v>
      </c>
      <c r="U22" s="219" t="s">
        <v>121</v>
      </c>
      <c r="V22" s="50">
        <v>1E-3</v>
      </c>
      <c r="W22" s="224" t="s">
        <v>121</v>
      </c>
      <c r="X22" s="201">
        <v>1.1000000000000001</v>
      </c>
      <c r="Y22" s="199">
        <v>0.8</v>
      </c>
    </row>
    <row r="23" spans="2:26">
      <c r="B23" s="123" t="s">
        <v>28</v>
      </c>
      <c r="C23" s="60">
        <f t="shared" ref="C23:H23" si="21">C15-SUM(C19:C20)+C21</f>
        <v>675</v>
      </c>
      <c r="D23" s="60">
        <f t="shared" si="21"/>
        <v>530</v>
      </c>
      <c r="E23" s="60">
        <f t="shared" si="21"/>
        <v>879</v>
      </c>
      <c r="F23" s="60">
        <f t="shared" si="21"/>
        <v>831</v>
      </c>
      <c r="G23" s="60">
        <f t="shared" si="21"/>
        <v>1131</v>
      </c>
      <c r="H23" s="60">
        <f t="shared" si="21"/>
        <v>121.075</v>
      </c>
      <c r="I23" s="60">
        <f>I15-I19-I20+I21-I22</f>
        <v>492.19500000000016</v>
      </c>
      <c r="J23" s="60">
        <f>J15-SUM(J19:J20)+J21</f>
        <v>1002.2189999999991</v>
      </c>
      <c r="K23" s="84">
        <f>K15-SUM(K19:K20)+K21+K22</f>
        <v>1411.3999999999996</v>
      </c>
      <c r="L23" s="60">
        <f>L15-SUM(L19:L20)+L21+L22</f>
        <v>2028.9999999999991</v>
      </c>
      <c r="M23" s="60">
        <f>M15-SUM(M19:M20)+M21+M22</f>
        <v>689.90000000000009</v>
      </c>
      <c r="N23" s="209"/>
      <c r="O23" s="43" t="s">
        <v>31</v>
      </c>
      <c r="P23" s="28">
        <v>233</v>
      </c>
      <c r="Q23" s="28">
        <v>70</v>
      </c>
      <c r="R23" s="28">
        <v>232</v>
      </c>
      <c r="S23" s="28">
        <v>127</v>
      </c>
      <c r="T23" s="28">
        <v>85</v>
      </c>
      <c r="U23" s="28">
        <v>6.0419999999999998</v>
      </c>
      <c r="V23" s="50">
        <v>5.9169999999999998</v>
      </c>
      <c r="W23" s="50">
        <v>10.583</v>
      </c>
      <c r="X23" s="170">
        <v>86.7</v>
      </c>
      <c r="Y23" s="175">
        <f>129.6</f>
        <v>129.6</v>
      </c>
    </row>
    <row r="24" spans="2:26">
      <c r="B24" s="125" t="s">
        <v>29</v>
      </c>
      <c r="C24" s="69">
        <v>229</v>
      </c>
      <c r="D24" s="69">
        <v>135</v>
      </c>
      <c r="E24" s="69">
        <v>197</v>
      </c>
      <c r="F24" s="69">
        <v>127</v>
      </c>
      <c r="G24" s="69">
        <v>321</v>
      </c>
      <c r="H24" s="69">
        <f>40.363+21.24</f>
        <v>61.602999999999994</v>
      </c>
      <c r="I24" s="69">
        <f>99.353+24.611</f>
        <v>123.964</v>
      </c>
      <c r="J24" s="69">
        <f>259.113-55.277</f>
        <v>203.83600000000001</v>
      </c>
      <c r="K24" s="93">
        <f>330.1-11.9+13.2</f>
        <v>331.40000000000003</v>
      </c>
      <c r="L24" s="69">
        <v>473.9</v>
      </c>
      <c r="M24" s="69">
        <v>138.9</v>
      </c>
      <c r="N24" s="114"/>
      <c r="O24" s="43"/>
      <c r="P24" s="28"/>
      <c r="Q24" s="28"/>
      <c r="R24" s="28"/>
      <c r="S24" s="28"/>
      <c r="T24" s="28"/>
      <c r="U24" s="28"/>
      <c r="V24" s="50"/>
      <c r="W24" s="50"/>
      <c r="X24" s="168"/>
      <c r="Y24" s="174"/>
    </row>
    <row r="25" spans="2:26">
      <c r="B25" s="127" t="s">
        <v>30</v>
      </c>
      <c r="C25" s="141">
        <f>+C24/C23</f>
        <v>0.33925925925925926</v>
      </c>
      <c r="D25" s="141">
        <f>+D24/D23</f>
        <v>0.25471698113207547</v>
      </c>
      <c r="E25" s="141">
        <f>+E24/E23</f>
        <v>0.22411831626848691</v>
      </c>
      <c r="F25" s="141">
        <f>+F24/F23</f>
        <v>0.15282791817087846</v>
      </c>
      <c r="G25" s="141">
        <f>+G24/G23</f>
        <v>0.28381962864721483</v>
      </c>
      <c r="H25" s="141">
        <f t="shared" ref="H25:M25" si="22">H24/H23</f>
        <v>0.50880033037373518</v>
      </c>
      <c r="I25" s="70">
        <f t="shared" si="22"/>
        <v>0.25185952721990257</v>
      </c>
      <c r="J25" s="70">
        <f t="shared" si="22"/>
        <v>0.20338468937427867</v>
      </c>
      <c r="K25" s="94">
        <f t="shared" si="22"/>
        <v>0.23480232393368294</v>
      </c>
      <c r="L25" s="70">
        <f t="shared" si="22"/>
        <v>0.23356333169048801</v>
      </c>
      <c r="M25" s="70">
        <f t="shared" si="22"/>
        <v>0.20133352659805767</v>
      </c>
      <c r="N25" s="210"/>
      <c r="O25" s="43" t="s">
        <v>129</v>
      </c>
      <c r="P25" s="28">
        <v>26</v>
      </c>
      <c r="Q25" s="28">
        <v>41</v>
      </c>
      <c r="R25" s="28">
        <v>93</v>
      </c>
      <c r="S25" s="28">
        <v>181</v>
      </c>
      <c r="T25" s="28">
        <v>104</v>
      </c>
      <c r="U25" s="28">
        <v>36.441000000000003</v>
      </c>
      <c r="V25" s="50">
        <v>10.750999999999999</v>
      </c>
      <c r="W25" s="50">
        <v>65.028999999999996</v>
      </c>
      <c r="X25" s="170">
        <v>94.5</v>
      </c>
      <c r="Y25" s="175">
        <v>44.1</v>
      </c>
    </row>
    <row r="26" spans="2:26">
      <c r="B26" s="196" t="s">
        <v>133</v>
      </c>
      <c r="H26" s="69">
        <f>H23-H24</f>
        <v>59.472000000000008</v>
      </c>
      <c r="I26" s="69">
        <f>I23-I24</f>
        <v>368.23100000000017</v>
      </c>
      <c r="J26" s="69">
        <f>J23-J24</f>
        <v>798.38299999999913</v>
      </c>
      <c r="K26" s="69">
        <v>1080</v>
      </c>
      <c r="L26" s="202">
        <f>L23-L24</f>
        <v>1555.099999999999</v>
      </c>
      <c r="M26" s="202">
        <f>M23-M24</f>
        <v>551.00000000000011</v>
      </c>
      <c r="N26" s="194"/>
      <c r="O26" s="43" t="s">
        <v>130</v>
      </c>
      <c r="P26" s="28">
        <v>188</v>
      </c>
      <c r="Q26" s="28">
        <v>116</v>
      </c>
      <c r="R26" s="28">
        <v>117</v>
      </c>
      <c r="S26" s="28">
        <v>93</v>
      </c>
      <c r="T26" s="28">
        <v>90</v>
      </c>
      <c r="U26" s="28">
        <v>75.052000000000007</v>
      </c>
      <c r="V26" s="50">
        <v>16.128</v>
      </c>
      <c r="W26" s="50">
        <v>224.05199999999999</v>
      </c>
      <c r="X26" s="170">
        <v>171.8</v>
      </c>
      <c r="Y26" s="175">
        <v>1042.5999999999999</v>
      </c>
    </row>
    <row r="27" spans="2:26">
      <c r="B27" s="195" t="s">
        <v>134</v>
      </c>
      <c r="H27" s="69"/>
      <c r="I27" s="69"/>
      <c r="J27" s="69"/>
      <c r="K27" s="69">
        <v>-29.6</v>
      </c>
      <c r="L27" s="197">
        <v>420.6</v>
      </c>
      <c r="M27" s="197">
        <v>131.30000000000001</v>
      </c>
      <c r="N27" s="211"/>
      <c r="O27" s="121" t="s">
        <v>33</v>
      </c>
      <c r="P27" s="142">
        <f t="shared" ref="P27:Q27" si="23">SUM(P28:P37)</f>
        <v>8353</v>
      </c>
      <c r="Q27" s="142">
        <f t="shared" si="23"/>
        <v>7920</v>
      </c>
      <c r="R27" s="142">
        <f t="shared" ref="R27:T27" si="24">SUM(R28:R37)</f>
        <v>8608</v>
      </c>
      <c r="S27" s="142">
        <f t="shared" si="24"/>
        <v>7798</v>
      </c>
      <c r="T27" s="142">
        <f t="shared" si="24"/>
        <v>12353</v>
      </c>
      <c r="U27" s="142">
        <f>SUM(U28:U37)</f>
        <v>1646.8509999999999</v>
      </c>
      <c r="V27" s="79">
        <f>SUM(V28:V37)</f>
        <v>3086.8040000000001</v>
      </c>
      <c r="W27" s="79">
        <f>SUM(W28:W38)</f>
        <v>4482.762999999999</v>
      </c>
      <c r="X27" s="171">
        <f>SUM(X28:X38)</f>
        <v>6429.9999999999991</v>
      </c>
      <c r="Y27" s="176">
        <f>SUM(Y28:Y38)</f>
        <v>16687.599999999999</v>
      </c>
    </row>
    <row r="28" spans="2:26">
      <c r="B28" s="123" t="s">
        <v>32</v>
      </c>
      <c r="C28" s="65">
        <f>C23-C24</f>
        <v>446</v>
      </c>
      <c r="D28" s="65">
        <f>D23-D24</f>
        <v>395</v>
      </c>
      <c r="E28" s="65">
        <v>682</v>
      </c>
      <c r="F28" s="65">
        <f>F23-F24</f>
        <v>704</v>
      </c>
      <c r="G28" s="65">
        <f>G23-G24</f>
        <v>810</v>
      </c>
      <c r="H28" s="65">
        <f>H23-H24</f>
        <v>59.472000000000008</v>
      </c>
      <c r="I28" s="65">
        <f>I23-I24</f>
        <v>368.23100000000017</v>
      </c>
      <c r="J28" s="65">
        <f>J23-J24</f>
        <v>798.38299999999913</v>
      </c>
      <c r="K28" s="89">
        <f>K26+K27</f>
        <v>1050.4000000000001</v>
      </c>
      <c r="L28" s="65">
        <f>L26+L27</f>
        <v>1975.6999999999989</v>
      </c>
      <c r="M28" s="65">
        <f>M26+M27</f>
        <v>682.30000000000018</v>
      </c>
      <c r="N28" s="143"/>
      <c r="O28" s="125" t="s">
        <v>35</v>
      </c>
      <c r="P28" s="28">
        <v>1045</v>
      </c>
      <c r="Q28" s="51">
        <v>808</v>
      </c>
      <c r="R28" s="51">
        <v>1264</v>
      </c>
      <c r="S28" s="51">
        <v>1111</v>
      </c>
      <c r="T28" s="52">
        <v>1289</v>
      </c>
      <c r="U28" s="28">
        <v>488.50700000000001</v>
      </c>
      <c r="V28" s="50">
        <v>1145.799</v>
      </c>
      <c r="W28" s="50">
        <v>1019.83</v>
      </c>
      <c r="X28" s="170">
        <v>862</v>
      </c>
      <c r="Y28" s="175">
        <v>4327.5</v>
      </c>
    </row>
    <row r="29" spans="2:26">
      <c r="B29" s="135" t="s">
        <v>34</v>
      </c>
      <c r="C29" s="66">
        <f t="shared" ref="C29:J29" si="25">C28/C5</f>
        <v>4.6696680975814052E-2</v>
      </c>
      <c r="D29" s="66">
        <f t="shared" si="25"/>
        <v>4.2772062804547914E-2</v>
      </c>
      <c r="E29" s="66">
        <f t="shared" si="25"/>
        <v>5.9766891595828583E-2</v>
      </c>
      <c r="F29" s="66">
        <f t="shared" si="25"/>
        <v>6.3860667634252535E-2</v>
      </c>
      <c r="G29" s="66">
        <f t="shared" si="25"/>
        <v>6.2083237525868015E-2</v>
      </c>
      <c r="H29" s="66">
        <f t="shared" si="25"/>
        <v>0.11871464330912679</v>
      </c>
      <c r="I29" s="66">
        <f t="shared" si="25"/>
        <v>0.11779253241581043</v>
      </c>
      <c r="J29" s="66">
        <f t="shared" si="25"/>
        <v>0.12789760156453611</v>
      </c>
      <c r="K29" s="90">
        <f>K28/K5</f>
        <v>0.1241989263839951</v>
      </c>
      <c r="L29" s="66">
        <f>L28/L5</f>
        <v>0.151843767772876</v>
      </c>
      <c r="M29" s="66">
        <f>M28/M5</f>
        <v>0.12943185051693071</v>
      </c>
      <c r="N29" s="212"/>
      <c r="O29" s="125" t="s">
        <v>36</v>
      </c>
      <c r="P29" s="28"/>
      <c r="Q29" s="53"/>
      <c r="R29" s="53"/>
      <c r="S29" s="53"/>
      <c r="T29" s="54"/>
      <c r="U29" s="219"/>
      <c r="V29" s="218"/>
      <c r="W29" s="218"/>
      <c r="X29" s="222"/>
      <c r="Y29" s="223"/>
    </row>
    <row r="30" spans="2:26">
      <c r="B30" s="127" t="s">
        <v>12</v>
      </c>
      <c r="C30" s="61" t="s">
        <v>13</v>
      </c>
      <c r="D30" s="61">
        <f t="shared" ref="D30:J30" si="26">+D28/C28-1</f>
        <v>-0.11434977578475336</v>
      </c>
      <c r="E30" s="61">
        <f t="shared" si="26"/>
        <v>0.72658227848101276</v>
      </c>
      <c r="F30" s="61">
        <f t="shared" si="26"/>
        <v>3.2258064516129004E-2</v>
      </c>
      <c r="G30" s="61">
        <f t="shared" si="26"/>
        <v>0.15056818181818188</v>
      </c>
      <c r="H30" s="61"/>
      <c r="I30" s="61">
        <f t="shared" si="26"/>
        <v>5.1916700295937606</v>
      </c>
      <c r="J30" s="61">
        <f t="shared" si="26"/>
        <v>1.1681580312358242</v>
      </c>
      <c r="K30" s="85">
        <f>+K28/J28-1</f>
        <v>0.31565927631224766</v>
      </c>
      <c r="L30" s="61">
        <f>+L28/K28-1</f>
        <v>0.88090251332825464</v>
      </c>
      <c r="M30" s="61" t="s">
        <v>13</v>
      </c>
      <c r="N30" s="124"/>
      <c r="O30" s="43" t="s">
        <v>37</v>
      </c>
      <c r="P30" s="28">
        <v>1343</v>
      </c>
      <c r="Q30" s="28">
        <v>1909</v>
      </c>
      <c r="R30" s="28">
        <v>1657</v>
      </c>
      <c r="S30" s="28">
        <v>1237</v>
      </c>
      <c r="T30" s="55">
        <v>2950</v>
      </c>
      <c r="U30" s="219" t="s">
        <v>121</v>
      </c>
      <c r="V30" s="218" t="s">
        <v>121</v>
      </c>
      <c r="W30" s="218" t="s">
        <v>121</v>
      </c>
      <c r="X30" s="222" t="s">
        <v>121</v>
      </c>
      <c r="Y30" s="223" t="s">
        <v>121</v>
      </c>
    </row>
    <row r="31" spans="2:26">
      <c r="B31" s="128" t="s">
        <v>15</v>
      </c>
      <c r="C31" s="62" t="s">
        <v>13</v>
      </c>
      <c r="D31" s="62" t="s">
        <v>13</v>
      </c>
      <c r="E31" s="62" t="s">
        <v>13</v>
      </c>
      <c r="F31" s="62">
        <f t="shared" ref="F31:J31" si="27">((F28/C28)^(1/3)-1)</f>
        <v>0.16433852342602329</v>
      </c>
      <c r="G31" s="62">
        <f t="shared" si="27"/>
        <v>0.27046481247836063</v>
      </c>
      <c r="H31" s="62"/>
      <c r="I31" s="62">
        <f t="shared" si="27"/>
        <v>-0.19428293373242722</v>
      </c>
      <c r="J31" s="62">
        <f t="shared" si="27"/>
        <v>-4.8036969917586436E-3</v>
      </c>
      <c r="K31" s="86">
        <f>((K28/H28)^(1/3)-1)</f>
        <v>1.6042383084945113</v>
      </c>
      <c r="L31" s="62">
        <f>((L28/I28)^(1/3)-1)</f>
        <v>0.75065358513545499</v>
      </c>
      <c r="M31" s="62" t="s">
        <v>13</v>
      </c>
      <c r="N31" s="194"/>
      <c r="O31" s="43" t="s">
        <v>39</v>
      </c>
      <c r="P31" s="28">
        <v>2949</v>
      </c>
      <c r="Q31" s="28">
        <v>2625</v>
      </c>
      <c r="R31" s="28">
        <v>3053</v>
      </c>
      <c r="S31" s="28">
        <v>3301</v>
      </c>
      <c r="T31" s="55">
        <v>4534</v>
      </c>
      <c r="U31" s="28">
        <v>98.259</v>
      </c>
      <c r="V31" s="50">
        <v>290.94499999999999</v>
      </c>
      <c r="W31" s="50">
        <v>1518.107</v>
      </c>
      <c r="X31" s="170">
        <v>2714.5</v>
      </c>
      <c r="Y31" s="175">
        <v>2399.1</v>
      </c>
    </row>
    <row r="32" spans="2:26">
      <c r="B32" s="46" t="s">
        <v>38</v>
      </c>
      <c r="C32" s="71">
        <v>-6</v>
      </c>
      <c r="D32" s="144">
        <v>8</v>
      </c>
      <c r="E32" s="144">
        <v>6</v>
      </c>
      <c r="F32" s="71">
        <v>-3</v>
      </c>
      <c r="G32" s="71">
        <v>11</v>
      </c>
      <c r="H32" s="71">
        <v>-4.3999999999999997E-2</v>
      </c>
      <c r="I32" s="71">
        <v>3.2069999999999999</v>
      </c>
      <c r="J32" s="71">
        <v>2.9710000000000001</v>
      </c>
      <c r="K32" s="95">
        <f>-10.5</f>
        <v>-10.5</v>
      </c>
      <c r="L32" s="71">
        <v>-0.6</v>
      </c>
      <c r="M32" s="71">
        <v>-13.7</v>
      </c>
      <c r="N32" s="213"/>
      <c r="O32" s="43" t="s">
        <v>94</v>
      </c>
      <c r="P32" s="28">
        <v>692</v>
      </c>
      <c r="Q32" s="28">
        <v>772</v>
      </c>
      <c r="R32" s="28">
        <v>636</v>
      </c>
      <c r="S32" s="28">
        <v>458</v>
      </c>
      <c r="T32" s="55">
        <v>1011</v>
      </c>
      <c r="U32" s="28">
        <v>245.94</v>
      </c>
      <c r="V32" s="50">
        <v>79.866</v>
      </c>
      <c r="W32" s="50">
        <v>1249.713</v>
      </c>
      <c r="X32" s="170">
        <v>2.4</v>
      </c>
      <c r="Y32" s="175">
        <v>3363.9</v>
      </c>
    </row>
    <row r="33" spans="2:26">
      <c r="B33" s="47" t="s">
        <v>40</v>
      </c>
      <c r="C33" s="72">
        <f t="shared" ref="C33:M33" si="28">+C28+C32</f>
        <v>440</v>
      </c>
      <c r="D33" s="72">
        <f t="shared" si="28"/>
        <v>403</v>
      </c>
      <c r="E33" s="72">
        <f t="shared" si="28"/>
        <v>688</v>
      </c>
      <c r="F33" s="72">
        <f t="shared" si="28"/>
        <v>701</v>
      </c>
      <c r="G33" s="72">
        <f t="shared" si="28"/>
        <v>821</v>
      </c>
      <c r="H33" s="72">
        <f>+H28+H32</f>
        <v>59.428000000000011</v>
      </c>
      <c r="I33" s="72">
        <f>+I28+I32</f>
        <v>371.43800000000016</v>
      </c>
      <c r="J33" s="72">
        <f>+J28+J32</f>
        <v>801.35399999999913</v>
      </c>
      <c r="K33" s="96">
        <f t="shared" si="28"/>
        <v>1039.9000000000001</v>
      </c>
      <c r="L33" s="72">
        <f t="shared" si="28"/>
        <v>1975.099999999999</v>
      </c>
      <c r="M33" s="72">
        <f t="shared" si="28"/>
        <v>668.60000000000014</v>
      </c>
      <c r="N33" s="3"/>
      <c r="O33" s="43" t="s">
        <v>42</v>
      </c>
      <c r="P33" s="28">
        <v>44</v>
      </c>
      <c r="Q33" s="28">
        <v>30</v>
      </c>
      <c r="R33" s="28">
        <v>244</v>
      </c>
      <c r="S33" s="28">
        <v>35</v>
      </c>
      <c r="T33" s="55">
        <v>313</v>
      </c>
      <c r="U33" s="219" t="s">
        <v>121</v>
      </c>
      <c r="V33" s="50">
        <v>0.876</v>
      </c>
      <c r="W33" s="50">
        <v>2.456</v>
      </c>
      <c r="X33" s="170">
        <v>1267.5</v>
      </c>
      <c r="Y33" s="175">
        <v>603.29999999999995</v>
      </c>
    </row>
    <row r="34" spans="2:26">
      <c r="B34" s="123" t="s">
        <v>41</v>
      </c>
      <c r="C34" s="73">
        <v>2.4900000000000002</v>
      </c>
      <c r="D34" s="73">
        <v>2.1800000000000002</v>
      </c>
      <c r="E34" s="73">
        <v>3.74</v>
      </c>
      <c r="F34" s="73">
        <v>3.85</v>
      </c>
      <c r="G34" s="73">
        <v>4.42</v>
      </c>
      <c r="H34" s="73">
        <v>0.06</v>
      </c>
      <c r="I34" s="73">
        <v>0.35</v>
      </c>
      <c r="J34" s="73">
        <v>0.73</v>
      </c>
      <c r="K34" s="97">
        <v>0.89</v>
      </c>
      <c r="L34" s="73">
        <v>1.49</v>
      </c>
      <c r="M34" s="73">
        <v>0.46</v>
      </c>
      <c r="N34" s="3"/>
      <c r="O34" s="43" t="s">
        <v>43</v>
      </c>
      <c r="P34" s="28">
        <v>0</v>
      </c>
      <c r="Q34" s="28">
        <v>1</v>
      </c>
      <c r="R34" s="28">
        <v>2</v>
      </c>
      <c r="S34" s="28">
        <v>0</v>
      </c>
      <c r="T34" s="28">
        <v>0</v>
      </c>
      <c r="U34" s="28">
        <v>287.5</v>
      </c>
      <c r="V34" s="50">
        <v>521.5</v>
      </c>
      <c r="W34" s="50">
        <v>188.7</v>
      </c>
      <c r="X34" s="172">
        <v>374.5</v>
      </c>
      <c r="Y34" s="177">
        <v>1310.2</v>
      </c>
    </row>
    <row r="35" spans="2:26">
      <c r="B35" s="127" t="s">
        <v>12</v>
      </c>
      <c r="C35" s="61" t="s">
        <v>13</v>
      </c>
      <c r="D35" s="61">
        <f t="shared" ref="D35:J35" si="29">+D34/C34-1</f>
        <v>-0.12449799196787148</v>
      </c>
      <c r="E35" s="61">
        <f t="shared" si="29"/>
        <v>0.71559633027522929</v>
      </c>
      <c r="F35" s="61">
        <f t="shared" si="29"/>
        <v>2.9411764705882248E-2</v>
      </c>
      <c r="G35" s="61">
        <f t="shared" si="29"/>
        <v>0.14805194805194799</v>
      </c>
      <c r="H35" s="61"/>
      <c r="I35" s="61">
        <f>+I34/H34-1</f>
        <v>4.833333333333333</v>
      </c>
      <c r="J35" s="61">
        <f t="shared" si="29"/>
        <v>1.0857142857142859</v>
      </c>
      <c r="K35" s="85">
        <f>+K34/J34-1</f>
        <v>0.21917808219178081</v>
      </c>
      <c r="L35" s="61">
        <f>+L34/K34-1</f>
        <v>0.67415730337078639</v>
      </c>
      <c r="M35" s="61" t="s">
        <v>13</v>
      </c>
      <c r="N35" s="3"/>
      <c r="O35" s="43" t="s">
        <v>44</v>
      </c>
      <c r="P35" s="28">
        <v>33</v>
      </c>
      <c r="Q35" s="28">
        <v>16</v>
      </c>
      <c r="R35" s="28">
        <v>62</v>
      </c>
      <c r="S35" s="28">
        <v>39</v>
      </c>
      <c r="T35" s="28">
        <v>46</v>
      </c>
      <c r="U35" s="28">
        <v>40.395000000000003</v>
      </c>
      <c r="V35" s="50">
        <v>76.929000000000002</v>
      </c>
      <c r="W35" s="50">
        <v>64.733999999999995</v>
      </c>
      <c r="X35" s="170">
        <v>228.4</v>
      </c>
      <c r="Y35" s="175">
        <v>772.5</v>
      </c>
    </row>
    <row r="36" spans="2:26" ht="16.2" thickBot="1">
      <c r="B36" s="145" t="s">
        <v>15</v>
      </c>
      <c r="C36" s="74" t="s">
        <v>13</v>
      </c>
      <c r="D36" s="74" t="s">
        <v>13</v>
      </c>
      <c r="E36" s="74" t="s">
        <v>13</v>
      </c>
      <c r="F36" s="74">
        <f>+((F34/C34)^(1/3)-1)</f>
        <v>0.15634420286555151</v>
      </c>
      <c r="G36" s="74">
        <v>0.52200000000000002</v>
      </c>
      <c r="H36" s="74"/>
      <c r="I36" s="74"/>
      <c r="J36" s="74"/>
      <c r="K36" s="98">
        <f>+((K34/H34)^(1/3)-1)</f>
        <v>1.4570439150798715</v>
      </c>
      <c r="L36" s="74">
        <f>+((L34/I34)^(1/3)-1)</f>
        <v>0.6207128470212071</v>
      </c>
      <c r="M36" s="62" t="s">
        <v>13</v>
      </c>
      <c r="N36" s="3"/>
      <c r="O36" s="43" t="s">
        <v>45</v>
      </c>
      <c r="P36" s="28">
        <v>83</v>
      </c>
      <c r="Q36" s="28">
        <v>55</v>
      </c>
      <c r="R36" s="28">
        <v>92</v>
      </c>
      <c r="S36" s="28">
        <v>85</v>
      </c>
      <c r="T36" s="28">
        <v>0</v>
      </c>
      <c r="U36" s="28">
        <v>19.094000000000001</v>
      </c>
      <c r="V36" s="50">
        <v>28.071000000000002</v>
      </c>
      <c r="W36" s="50">
        <v>5.3479999999999999</v>
      </c>
      <c r="X36" s="170">
        <v>39.200000000000003</v>
      </c>
      <c r="Y36" s="199">
        <v>26.1</v>
      </c>
    </row>
    <row r="37" spans="2:26" ht="16.2" thickBot="1">
      <c r="B37" s="3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3"/>
      <c r="O37" s="125" t="s">
        <v>47</v>
      </c>
      <c r="P37" s="28">
        <v>2164</v>
      </c>
      <c r="Q37" s="28">
        <v>1704</v>
      </c>
      <c r="R37" s="28">
        <v>1598</v>
      </c>
      <c r="S37" s="28">
        <v>1532</v>
      </c>
      <c r="T37" s="28">
        <v>2210</v>
      </c>
      <c r="U37" s="28">
        <v>467.15600000000001</v>
      </c>
      <c r="V37" s="50">
        <v>942.81799999999998</v>
      </c>
      <c r="W37" s="50">
        <v>433.875</v>
      </c>
      <c r="X37" s="170">
        <v>941.5</v>
      </c>
      <c r="Y37" s="175">
        <v>3885</v>
      </c>
    </row>
    <row r="38" spans="2:26" ht="16.2" thickBot="1">
      <c r="B38" s="146" t="s">
        <v>46</v>
      </c>
      <c r="C38" s="103"/>
      <c r="D38" s="103"/>
      <c r="E38" s="103"/>
      <c r="F38" s="103"/>
      <c r="G38" s="103"/>
      <c r="H38" s="103"/>
      <c r="I38" s="103"/>
      <c r="J38" s="103"/>
      <c r="K38" s="103"/>
      <c r="L38" s="104"/>
      <c r="M38" s="235"/>
      <c r="N38" s="3"/>
      <c r="O38" s="125" t="s">
        <v>117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  <c r="U38" s="219">
        <v>0</v>
      </c>
      <c r="V38" s="218">
        <v>0</v>
      </c>
      <c r="W38" s="218" t="s">
        <v>121</v>
      </c>
      <c r="X38" s="222" t="s">
        <v>121</v>
      </c>
      <c r="Y38" s="223" t="s">
        <v>121</v>
      </c>
      <c r="Z38" s="207"/>
    </row>
    <row r="39" spans="2:26" ht="16.2" thickBot="1">
      <c r="B39" s="146" t="s">
        <v>2</v>
      </c>
      <c r="C39" s="115" t="s">
        <v>3</v>
      </c>
      <c r="D39" s="115" t="s">
        <v>4</v>
      </c>
      <c r="E39" s="116" t="s">
        <v>5</v>
      </c>
      <c r="F39" s="115" t="s">
        <v>6</v>
      </c>
      <c r="G39" s="115" t="s">
        <v>7</v>
      </c>
      <c r="H39" s="75" t="s">
        <v>97</v>
      </c>
      <c r="I39" s="115" t="s">
        <v>101</v>
      </c>
      <c r="J39" s="75" t="s">
        <v>116</v>
      </c>
      <c r="K39" s="198" t="s">
        <v>122</v>
      </c>
      <c r="L39" s="198" t="s">
        <v>123</v>
      </c>
      <c r="M39" s="157"/>
      <c r="N39" s="3"/>
      <c r="O39" s="15" t="s">
        <v>48</v>
      </c>
      <c r="P39" s="56">
        <f t="shared" ref="P39:T39" si="30">SUM(P40:P45)</f>
        <v>4616</v>
      </c>
      <c r="Q39" s="56">
        <f t="shared" si="30"/>
        <v>3904</v>
      </c>
      <c r="R39" s="56">
        <f t="shared" si="30"/>
        <v>4854</v>
      </c>
      <c r="S39" s="56">
        <f t="shared" si="30"/>
        <v>4095</v>
      </c>
      <c r="T39" s="56">
        <f t="shared" si="30"/>
        <v>7643</v>
      </c>
      <c r="U39" s="56">
        <f>SUM(U40:U45)</f>
        <v>320.947</v>
      </c>
      <c r="V39" s="49">
        <f>SUM(V40:V45)</f>
        <v>1664.979</v>
      </c>
      <c r="W39" s="49">
        <f>SUM(W40:W45)</f>
        <v>1395.7219999999998</v>
      </c>
      <c r="X39" s="169">
        <f>SUM(X40:X45)</f>
        <v>2825.3</v>
      </c>
      <c r="Y39" s="167">
        <f>SUM(Y40:Y45)</f>
        <v>6027.9</v>
      </c>
    </row>
    <row r="40" spans="2:26">
      <c r="B40" s="5" t="s">
        <v>49</v>
      </c>
      <c r="C40" s="6">
        <v>605</v>
      </c>
      <c r="D40" s="6">
        <v>692</v>
      </c>
      <c r="E40" s="6">
        <v>773</v>
      </c>
      <c r="F40" s="6">
        <f>E46</f>
        <v>636</v>
      </c>
      <c r="G40" s="21">
        <v>458</v>
      </c>
      <c r="H40" s="29">
        <v>46.948</v>
      </c>
      <c r="I40" s="21">
        <f>H46</f>
        <v>117.69899999999998</v>
      </c>
      <c r="J40" s="21">
        <f t="shared" ref="J40" si="31">I46</f>
        <v>6.606000000000023</v>
      </c>
      <c r="K40" s="226">
        <v>10</v>
      </c>
      <c r="L40" s="227">
        <f>K46</f>
        <v>2.2790000000000905</v>
      </c>
      <c r="M40" s="114"/>
      <c r="N40" s="3"/>
      <c r="O40" s="14" t="s">
        <v>89</v>
      </c>
      <c r="P40" s="28"/>
      <c r="Q40" s="28"/>
      <c r="R40" s="28"/>
      <c r="S40" s="28"/>
      <c r="T40" s="28"/>
      <c r="U40" s="28"/>
      <c r="V40" s="28"/>
      <c r="W40" s="28"/>
      <c r="X40" s="168"/>
      <c r="Y40" s="174"/>
    </row>
    <row r="41" spans="2:26">
      <c r="B41" s="8" t="s">
        <v>50</v>
      </c>
      <c r="C41" s="2">
        <v>202</v>
      </c>
      <c r="D41" s="2">
        <v>1014</v>
      </c>
      <c r="E41" s="2">
        <v>330</v>
      </c>
      <c r="F41" s="2">
        <v>147</v>
      </c>
      <c r="G41" s="9">
        <v>2251</v>
      </c>
      <c r="H41" s="2">
        <v>-170.91300000000001</v>
      </c>
      <c r="I41" s="9">
        <v>-31.015999999999998</v>
      </c>
      <c r="J41" s="9">
        <v>-449.82799999999997</v>
      </c>
      <c r="K41" s="9">
        <v>1532.2</v>
      </c>
      <c r="L41" s="37">
        <v>-2529</v>
      </c>
      <c r="M41" s="113"/>
      <c r="N41" s="4"/>
      <c r="O41" s="45" t="s">
        <v>90</v>
      </c>
      <c r="P41" s="28">
        <v>43</v>
      </c>
      <c r="Q41" s="28">
        <v>59</v>
      </c>
      <c r="R41" s="28">
        <v>0</v>
      </c>
      <c r="S41" s="28">
        <v>0</v>
      </c>
      <c r="T41" s="28">
        <v>0</v>
      </c>
      <c r="U41" s="28">
        <v>3.2650000000000001</v>
      </c>
      <c r="V41" s="50">
        <v>459.72800000000001</v>
      </c>
      <c r="W41" s="50">
        <v>561.56100000000004</v>
      </c>
      <c r="X41" s="189">
        <v>428.7</v>
      </c>
      <c r="Y41" s="188">
        <v>246.3</v>
      </c>
    </row>
    <row r="42" spans="2:26">
      <c r="B42" s="8" t="s">
        <v>51</v>
      </c>
      <c r="C42" s="2">
        <v>-80</v>
      </c>
      <c r="D42" s="2">
        <v>-707</v>
      </c>
      <c r="E42" s="2">
        <v>-59</v>
      </c>
      <c r="F42" s="2">
        <v>621</v>
      </c>
      <c r="G42" s="9">
        <v>-1643</v>
      </c>
      <c r="H42" s="2">
        <v>-119.38</v>
      </c>
      <c r="I42" s="9">
        <v>-536.53800000000001</v>
      </c>
      <c r="J42" s="9">
        <v>-967.495</v>
      </c>
      <c r="K42" s="9">
        <v>-1091.7329999999999</v>
      </c>
      <c r="L42" s="37">
        <v>-4610.7</v>
      </c>
      <c r="M42" s="113"/>
      <c r="N42" s="214"/>
      <c r="O42" s="45" t="s">
        <v>91</v>
      </c>
      <c r="P42" s="28">
        <v>2134</v>
      </c>
      <c r="Q42" s="28">
        <v>1764</v>
      </c>
      <c r="R42" s="28">
        <v>2345</v>
      </c>
      <c r="S42" s="28">
        <v>1875</v>
      </c>
      <c r="T42" s="28">
        <v>3416</v>
      </c>
      <c r="U42" s="28">
        <v>77.896000000000001</v>
      </c>
      <c r="V42" s="50">
        <v>247.81800000000001</v>
      </c>
      <c r="W42" s="50">
        <v>280.02699999999999</v>
      </c>
      <c r="X42" s="170">
        <f>118.9+917.4</f>
        <v>1036.3</v>
      </c>
      <c r="Y42" s="175">
        <v>1922.9</v>
      </c>
      <c r="Z42" s="200"/>
    </row>
    <row r="43" spans="2:26">
      <c r="B43" s="8" t="s">
        <v>52</v>
      </c>
      <c r="C43" s="2">
        <v>-39</v>
      </c>
      <c r="D43" s="2">
        <v>-247</v>
      </c>
      <c r="E43" s="2">
        <v>-434</v>
      </c>
      <c r="F43" s="2">
        <v>-980</v>
      </c>
      <c r="G43" s="9">
        <v>-63</v>
      </c>
      <c r="H43" s="2">
        <v>361.04399999999998</v>
      </c>
      <c r="I43" s="9">
        <v>456.46100000000001</v>
      </c>
      <c r="J43" s="9">
        <v>1423.1510000000001</v>
      </c>
      <c r="K43" s="9">
        <v>-450.94200000000001</v>
      </c>
      <c r="L43" s="37">
        <v>7875.7</v>
      </c>
      <c r="M43" s="113"/>
      <c r="N43" s="214"/>
      <c r="O43" s="45" t="s">
        <v>99</v>
      </c>
      <c r="P43" s="28">
        <v>64</v>
      </c>
      <c r="Q43" s="28">
        <v>125</v>
      </c>
      <c r="R43" s="28">
        <v>165</v>
      </c>
      <c r="S43" s="28">
        <v>175</v>
      </c>
      <c r="T43" s="28">
        <v>197</v>
      </c>
      <c r="U43" s="28">
        <f>44.51+3.636</f>
        <v>48.146000000000001</v>
      </c>
      <c r="V43" s="50">
        <f>25.634+8.345</f>
        <v>33.978999999999999</v>
      </c>
      <c r="W43" s="50">
        <f>174.936+27.098</f>
        <v>202.03399999999999</v>
      </c>
      <c r="X43" s="170">
        <f>36.5+10</f>
        <v>46.5</v>
      </c>
      <c r="Y43" s="175">
        <f>146.4+39.8</f>
        <v>186.2</v>
      </c>
    </row>
    <row r="44" spans="2:26">
      <c r="B44" s="8" t="s">
        <v>84</v>
      </c>
      <c r="C44" s="2">
        <v>4</v>
      </c>
      <c r="D44" s="2">
        <v>20</v>
      </c>
      <c r="E44" s="2">
        <v>27</v>
      </c>
      <c r="F44" s="2">
        <v>36</v>
      </c>
      <c r="G44" s="9">
        <v>8</v>
      </c>
      <c r="H44" s="215">
        <v>0</v>
      </c>
      <c r="I44" s="216">
        <v>0</v>
      </c>
      <c r="J44" s="216">
        <v>0</v>
      </c>
      <c r="K44" s="216">
        <v>0</v>
      </c>
      <c r="L44" s="217">
        <v>0</v>
      </c>
      <c r="M44" s="234"/>
      <c r="N44" s="4"/>
      <c r="O44" s="14" t="s">
        <v>53</v>
      </c>
      <c r="P44" s="28">
        <v>2196</v>
      </c>
      <c r="Q44" s="28">
        <v>1871</v>
      </c>
      <c r="R44" s="28">
        <v>2219</v>
      </c>
      <c r="S44" s="28">
        <v>1972</v>
      </c>
      <c r="T44" s="28">
        <v>3763</v>
      </c>
      <c r="U44" s="28">
        <v>183.048</v>
      </c>
      <c r="V44" s="50">
        <v>891.26499999999999</v>
      </c>
      <c r="W44" s="50">
        <v>313.58199999999999</v>
      </c>
      <c r="X44" s="170">
        <v>1237.3</v>
      </c>
      <c r="Y44" s="175">
        <v>3509</v>
      </c>
    </row>
    <row r="45" spans="2:26">
      <c r="B45" s="8" t="s">
        <v>54</v>
      </c>
      <c r="C45" s="2">
        <v>83</v>
      </c>
      <c r="D45" s="2">
        <v>60</v>
      </c>
      <c r="E45" s="2">
        <v>-164</v>
      </c>
      <c r="F45" s="2">
        <v>-213</v>
      </c>
      <c r="G45" s="9">
        <v>545</v>
      </c>
      <c r="H45" s="2">
        <f t="shared" ref="H45" si="32">H41+H42+H43</f>
        <v>70.750999999999976</v>
      </c>
      <c r="I45" s="2">
        <f>I41+I42+I43</f>
        <v>-111.09299999999996</v>
      </c>
      <c r="J45" s="2">
        <f>J41+J42+J43</f>
        <v>5.8280000000002019</v>
      </c>
      <c r="K45" s="2">
        <f>K41+K42+K43+2.754</f>
        <v>-7.7209999999999095</v>
      </c>
      <c r="L45" s="231">
        <f>L41+L42+L43+8.3-53.3</f>
        <v>691</v>
      </c>
      <c r="M45" s="113"/>
      <c r="N45" s="4"/>
      <c r="O45" s="14" t="s">
        <v>119</v>
      </c>
      <c r="P45" s="28">
        <v>179</v>
      </c>
      <c r="Q45" s="28">
        <v>85</v>
      </c>
      <c r="R45" s="28">
        <v>125</v>
      </c>
      <c r="S45" s="28">
        <v>73</v>
      </c>
      <c r="T45" s="28">
        <v>267</v>
      </c>
      <c r="U45" s="28">
        <v>8.5920000000000005</v>
      </c>
      <c r="V45" s="50">
        <v>32.189</v>
      </c>
      <c r="W45" s="50">
        <v>38.518000000000001</v>
      </c>
      <c r="X45" s="170">
        <f>0.8+75.7</f>
        <v>76.5</v>
      </c>
      <c r="Y45" s="175">
        <f>124.3+39.2</f>
        <v>163.5</v>
      </c>
    </row>
    <row r="46" spans="2:26" ht="16.2" thickBot="1">
      <c r="B46" s="10" t="s">
        <v>55</v>
      </c>
      <c r="C46" s="11">
        <f t="shared" ref="C46:I46" si="33">C40+C44+C45</f>
        <v>692</v>
      </c>
      <c r="D46" s="11">
        <f t="shared" si="33"/>
        <v>772</v>
      </c>
      <c r="E46" s="11">
        <f t="shared" si="33"/>
        <v>636</v>
      </c>
      <c r="F46" s="11">
        <f t="shared" si="33"/>
        <v>459</v>
      </c>
      <c r="G46" s="11">
        <f t="shared" si="33"/>
        <v>1011</v>
      </c>
      <c r="H46" s="11">
        <f>H40+H44+H45</f>
        <v>117.69899999999998</v>
      </c>
      <c r="I46" s="11">
        <f t="shared" si="33"/>
        <v>6.606000000000023</v>
      </c>
      <c r="J46" s="59">
        <f>J40+J44+J45</f>
        <v>12.434000000000225</v>
      </c>
      <c r="K46" s="59">
        <f>K40+K44+K45</f>
        <v>2.2790000000000905</v>
      </c>
      <c r="L46" s="147">
        <f>L40+L44+L45</f>
        <v>693.27900000000011</v>
      </c>
      <c r="M46" s="114"/>
      <c r="N46" s="4"/>
      <c r="O46" s="15" t="s">
        <v>56</v>
      </c>
      <c r="P46" s="56">
        <f>SUM(P47:P50)</f>
        <v>158</v>
      </c>
      <c r="Q46" s="56">
        <v>159</v>
      </c>
      <c r="R46" s="56">
        <f t="shared" ref="R46:U46" si="34">SUM(R47:R50)</f>
        <v>159</v>
      </c>
      <c r="S46" s="56">
        <f t="shared" si="34"/>
        <v>324</v>
      </c>
      <c r="T46" s="56">
        <f t="shared" si="34"/>
        <v>270</v>
      </c>
      <c r="U46" s="56">
        <f t="shared" si="34"/>
        <v>267.92500000000001</v>
      </c>
      <c r="V46" s="49">
        <f>SUM(V47:V50)</f>
        <v>89.87700000000001</v>
      </c>
      <c r="W46" s="49">
        <f>SUM(W47:W51)</f>
        <v>205.07900000000001</v>
      </c>
      <c r="X46" s="169">
        <f>SUM(X47:X51)</f>
        <v>424.5</v>
      </c>
      <c r="Y46" s="167">
        <f>SUM(Y47:Y51)</f>
        <v>829.80000000000007</v>
      </c>
    </row>
    <row r="47" spans="2:26" ht="16.2" thickBot="1">
      <c r="B47" s="3"/>
      <c r="C47" s="58"/>
      <c r="D47" s="58"/>
      <c r="E47" s="58"/>
      <c r="F47" s="58"/>
      <c r="G47" s="58"/>
      <c r="H47" s="58"/>
      <c r="I47" s="58"/>
      <c r="J47" s="58"/>
      <c r="K47" s="58"/>
      <c r="L47" s="102"/>
      <c r="M47" s="58"/>
      <c r="N47" s="4"/>
      <c r="O47" s="14" t="s">
        <v>89</v>
      </c>
      <c r="P47" s="28"/>
      <c r="Q47" s="28"/>
      <c r="R47" s="28"/>
      <c r="S47" s="28"/>
      <c r="T47" s="28"/>
      <c r="U47" s="28"/>
      <c r="V47" s="28"/>
      <c r="W47" s="28"/>
      <c r="X47" s="168"/>
      <c r="Y47" s="174"/>
    </row>
    <row r="48" spans="2:26" ht="16.2" thickBot="1">
      <c r="B48" s="105" t="s">
        <v>57</v>
      </c>
      <c r="C48" s="148" t="s">
        <v>3</v>
      </c>
      <c r="D48" s="148" t="s">
        <v>4</v>
      </c>
      <c r="E48" s="148" t="s">
        <v>5</v>
      </c>
      <c r="F48" s="149" t="s">
        <v>6</v>
      </c>
      <c r="G48" s="115" t="s">
        <v>7</v>
      </c>
      <c r="H48" s="115" t="s">
        <v>97</v>
      </c>
      <c r="I48" s="75" t="s">
        <v>101</v>
      </c>
      <c r="J48" s="75" t="s">
        <v>116</v>
      </c>
      <c r="K48" s="75" t="s">
        <v>122</v>
      </c>
      <c r="L48" s="99" t="s">
        <v>123</v>
      </c>
      <c r="M48" s="157"/>
      <c r="N48" s="4"/>
      <c r="O48" s="45" t="s">
        <v>90</v>
      </c>
      <c r="P48" s="28">
        <v>1</v>
      </c>
      <c r="Q48" s="28">
        <v>0</v>
      </c>
      <c r="R48" s="28">
        <v>0</v>
      </c>
      <c r="S48" s="28">
        <v>0</v>
      </c>
      <c r="T48" s="28">
        <v>0</v>
      </c>
      <c r="U48" s="28">
        <v>188.601</v>
      </c>
      <c r="V48" s="50">
        <v>4.2649999999999997</v>
      </c>
      <c r="W48" s="50">
        <v>46.527000000000001</v>
      </c>
      <c r="X48" s="201">
        <v>154.80000000000001</v>
      </c>
      <c r="Y48" s="188">
        <v>92</v>
      </c>
    </row>
    <row r="49" spans="2:27">
      <c r="B49" s="106" t="s">
        <v>59</v>
      </c>
      <c r="C49" s="13">
        <f>C23</f>
        <v>675</v>
      </c>
      <c r="D49" s="13">
        <f>D23</f>
        <v>530</v>
      </c>
      <c r="E49" s="13">
        <f>E23</f>
        <v>879</v>
      </c>
      <c r="F49" s="13">
        <f>F23</f>
        <v>831</v>
      </c>
      <c r="G49" s="7">
        <v>1951</v>
      </c>
      <c r="H49" s="108">
        <f>H41</f>
        <v>-170.91300000000001</v>
      </c>
      <c r="I49" s="108">
        <f>I41</f>
        <v>-31.015999999999998</v>
      </c>
      <c r="J49" s="108">
        <f>J41</f>
        <v>-449.82799999999997</v>
      </c>
      <c r="K49" s="108">
        <f>K41</f>
        <v>1532.2</v>
      </c>
      <c r="L49" s="109">
        <f>L41</f>
        <v>-2529</v>
      </c>
      <c r="M49" s="113"/>
      <c r="N49" s="4"/>
      <c r="O49" s="45" t="s">
        <v>115</v>
      </c>
      <c r="P49" s="28">
        <v>0</v>
      </c>
      <c r="Q49" s="28">
        <v>0</v>
      </c>
      <c r="R49" s="28">
        <v>0</v>
      </c>
      <c r="S49" s="28">
        <v>152</v>
      </c>
      <c r="T49" s="28">
        <v>113</v>
      </c>
      <c r="U49" s="28">
        <v>37.529000000000003</v>
      </c>
      <c r="V49" s="50">
        <v>49.698</v>
      </c>
      <c r="W49" s="50">
        <v>117.831</v>
      </c>
      <c r="X49" s="170">
        <f>206.5+1.1</f>
        <v>207.6</v>
      </c>
      <c r="Y49" s="175">
        <f>601+7.9</f>
        <v>608.9</v>
      </c>
    </row>
    <row r="50" spans="2:27">
      <c r="B50" s="187" t="s">
        <v>60</v>
      </c>
      <c r="C50" s="2">
        <f>C19</f>
        <v>221</v>
      </c>
      <c r="D50" s="2">
        <f>D19</f>
        <v>241</v>
      </c>
      <c r="E50" s="2">
        <f>E19</f>
        <v>229</v>
      </c>
      <c r="F50" s="2">
        <f>F19</f>
        <v>218</v>
      </c>
      <c r="G50" s="2">
        <v>277</v>
      </c>
      <c r="H50" s="92">
        <f>-120.8177</f>
        <v>-120.8177</v>
      </c>
      <c r="I50" s="9">
        <f>-352.242+3.625</f>
        <v>-348.61700000000002</v>
      </c>
      <c r="J50" s="9">
        <f>-508.253+87.909</f>
        <v>-420.34399999999999</v>
      </c>
      <c r="K50" s="9">
        <f>-668.9+3.2</f>
        <v>-665.69999999999993</v>
      </c>
      <c r="L50" s="230">
        <f>-807.2+192.4</f>
        <v>-614.80000000000007</v>
      </c>
      <c r="M50" s="113"/>
      <c r="N50" s="4"/>
      <c r="O50" s="14" t="s">
        <v>58</v>
      </c>
      <c r="P50" s="28">
        <v>157</v>
      </c>
      <c r="Q50" s="28">
        <v>159</v>
      </c>
      <c r="R50" s="28">
        <v>159</v>
      </c>
      <c r="S50" s="28">
        <v>172</v>
      </c>
      <c r="T50" s="28">
        <v>157</v>
      </c>
      <c r="U50" s="28">
        <v>41.795000000000002</v>
      </c>
      <c r="V50" s="50">
        <v>35.914000000000001</v>
      </c>
      <c r="W50" s="50">
        <v>40.720999999999997</v>
      </c>
      <c r="X50" s="170">
        <v>60.1</v>
      </c>
      <c r="Y50" s="175">
        <v>85.7</v>
      </c>
    </row>
    <row r="51" spans="2:27" ht="16.2" thickBot="1">
      <c r="B51" s="107" t="s">
        <v>62</v>
      </c>
      <c r="C51" s="27">
        <f>-C21</f>
        <v>-222</v>
      </c>
      <c r="D51" s="27">
        <f>-0.016+186.844-0.195-152.241+26.979+1.526-24.508-0.782-3.156-37.187</f>
        <v>-2.7359999999999971</v>
      </c>
      <c r="E51" s="27">
        <f>1.005+190.389-0.568-202.328+109.392-0.741+0.329-8.256-45.603</f>
        <v>43.618999999999978</v>
      </c>
      <c r="F51" s="27">
        <f>1+159.7-0.2-220.8+109.2+2.5-97.2</f>
        <v>-45.800000000000011</v>
      </c>
      <c r="G51" s="112">
        <v>20</v>
      </c>
      <c r="H51" s="165">
        <f>SUM(H49:H50)</f>
        <v>-291.73070000000001</v>
      </c>
      <c r="I51" s="165">
        <f>SUM(I49:I50)</f>
        <v>-379.63300000000004</v>
      </c>
      <c r="J51" s="165">
        <f>SUM(J49:J50)</f>
        <v>-870.17200000000003</v>
      </c>
      <c r="K51" s="165">
        <f>SUM(K49:K50)</f>
        <v>866.50000000000011</v>
      </c>
      <c r="L51" s="166">
        <f>SUM(L49:L50)</f>
        <v>-3143.8</v>
      </c>
      <c r="M51" s="236"/>
      <c r="N51" s="4"/>
      <c r="O51" s="14" t="s">
        <v>118</v>
      </c>
      <c r="P51" s="51">
        <v>0</v>
      </c>
      <c r="Q51" s="51">
        <v>0</v>
      </c>
      <c r="R51" s="51">
        <v>0</v>
      </c>
      <c r="S51" s="51">
        <v>0</v>
      </c>
      <c r="T51" s="51">
        <v>0</v>
      </c>
      <c r="U51" s="219">
        <v>0</v>
      </c>
      <c r="V51" s="219">
        <v>0</v>
      </c>
      <c r="W51" s="218" t="s">
        <v>121</v>
      </c>
      <c r="X51" s="170">
        <v>2</v>
      </c>
      <c r="Y51" s="199">
        <v>43.2</v>
      </c>
      <c r="AA51" s="36"/>
    </row>
    <row r="52" spans="2:27" ht="16.2" thickBot="1">
      <c r="B52" s="3"/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4"/>
      <c r="O52" s="121" t="s">
        <v>18</v>
      </c>
      <c r="P52" s="49">
        <f t="shared" ref="P52:T52" si="35">(P12+P27)-P39</f>
        <v>7258</v>
      </c>
      <c r="Q52" s="49">
        <f t="shared" si="35"/>
        <v>7429</v>
      </c>
      <c r="R52" s="49">
        <f t="shared" si="35"/>
        <v>7616</v>
      </c>
      <c r="S52" s="49">
        <f t="shared" si="35"/>
        <v>7521</v>
      </c>
      <c r="T52" s="49">
        <f t="shared" si="35"/>
        <v>8295</v>
      </c>
      <c r="U52" s="49">
        <f>(U12+U27)-U39</f>
        <v>1620.3179999999998</v>
      </c>
      <c r="V52" s="49">
        <f>V53-V39-1</f>
        <v>2042.5199999999998</v>
      </c>
      <c r="W52" s="49">
        <f>W53-W39</f>
        <v>4317.0599999999995</v>
      </c>
      <c r="X52" s="169">
        <f>X53-X39</f>
        <v>7081.7999999999984</v>
      </c>
      <c r="Y52" s="167">
        <f>Y53-Y39</f>
        <v>17662.900000000001</v>
      </c>
    </row>
    <row r="53" spans="2:27" ht="16.2" thickBot="1">
      <c r="B53" s="22"/>
      <c r="C53" s="148" t="s">
        <v>3</v>
      </c>
      <c r="D53" s="148" t="s">
        <v>4</v>
      </c>
      <c r="E53" s="148" t="s">
        <v>5</v>
      </c>
      <c r="F53" s="149" t="s">
        <v>6</v>
      </c>
      <c r="G53" s="115" t="s">
        <v>7</v>
      </c>
      <c r="H53" s="115" t="s">
        <v>97</v>
      </c>
      <c r="I53" s="75" t="s">
        <v>101</v>
      </c>
      <c r="J53" s="115" t="s">
        <v>116</v>
      </c>
      <c r="K53" s="115" t="s">
        <v>122</v>
      </c>
      <c r="L53" s="75" t="s">
        <v>123</v>
      </c>
      <c r="M53" s="115" t="s">
        <v>136</v>
      </c>
      <c r="N53" s="4"/>
      <c r="O53" s="121" t="s">
        <v>61</v>
      </c>
      <c r="P53" s="56">
        <f t="shared" ref="P53:Y53" si="36">P27+SUM(P13:P26)</f>
        <v>11874</v>
      </c>
      <c r="Q53" s="56">
        <f t="shared" si="36"/>
        <v>11333</v>
      </c>
      <c r="R53" s="56">
        <f t="shared" si="36"/>
        <v>12470</v>
      </c>
      <c r="S53" s="56">
        <f t="shared" si="36"/>
        <v>11616</v>
      </c>
      <c r="T53" s="56">
        <f t="shared" si="36"/>
        <v>15938</v>
      </c>
      <c r="U53" s="49">
        <f t="shared" si="36"/>
        <v>1941.2649999999999</v>
      </c>
      <c r="V53" s="49">
        <f>V27+SUM(V13:V26)</f>
        <v>3708.4989999999998</v>
      </c>
      <c r="W53" s="49">
        <f t="shared" si="36"/>
        <v>5712.7819999999992</v>
      </c>
      <c r="X53" s="169">
        <f t="shared" si="36"/>
        <v>9907.0999999999985</v>
      </c>
      <c r="Y53" s="167">
        <f t="shared" si="36"/>
        <v>23690.799999999999</v>
      </c>
    </row>
    <row r="54" spans="2:27" ht="16.2" thickBot="1">
      <c r="B54" s="12" t="s">
        <v>64</v>
      </c>
      <c r="C54" s="150">
        <v>179.4</v>
      </c>
      <c r="D54" s="150">
        <v>180.9</v>
      </c>
      <c r="E54" s="150">
        <v>182.6</v>
      </c>
      <c r="F54" s="150">
        <v>183.1</v>
      </c>
      <c r="G54" s="150">
        <v>183.2</v>
      </c>
      <c r="H54" s="100">
        <v>898.69799999999998</v>
      </c>
      <c r="I54" s="150">
        <v>988.69799999999998</v>
      </c>
      <c r="J54" s="77">
        <v>1144.6289999999999</v>
      </c>
      <c r="K54" s="100">
        <v>1165.51</v>
      </c>
      <c r="L54" s="100">
        <f>1480082086/1000000</f>
        <v>1480.0820859999999</v>
      </c>
      <c r="M54" s="77">
        <v>1480.296454</v>
      </c>
      <c r="N54" s="3"/>
      <c r="O54" s="151" t="s">
        <v>63</v>
      </c>
      <c r="P54" s="152">
        <f>P39+P46+P6+P8+1</f>
        <v>11873.8</v>
      </c>
      <c r="Q54" s="152">
        <f>Q39+Q46+Q6+Q8+2</f>
        <v>11332.6</v>
      </c>
      <c r="R54" s="152">
        <f>R39+R46+R6+R8</f>
        <v>12469.64</v>
      </c>
      <c r="S54" s="152">
        <f>S39+S46+S6+S8-2</f>
        <v>11615.697</v>
      </c>
      <c r="T54" s="152">
        <f t="shared" ref="T54:W54" si="37">T39+T46+T6+T8</f>
        <v>15937.815000000001</v>
      </c>
      <c r="U54" s="152">
        <f t="shared" si="37"/>
        <v>1941.2650000000001</v>
      </c>
      <c r="V54" s="41">
        <f>V39+V46+V6+V8</f>
        <v>3708.4989999999998</v>
      </c>
      <c r="W54" s="41">
        <f t="shared" si="37"/>
        <v>5712.7819999999992</v>
      </c>
      <c r="X54" s="173">
        <f>X39+X46+X6+X8</f>
        <v>9907.1</v>
      </c>
      <c r="Y54" s="178">
        <f>Y39+Y46+Y6+Y8</f>
        <v>23690.799999999999</v>
      </c>
    </row>
    <row r="55" spans="2:27" ht="16.2" thickBot="1">
      <c r="B55" s="14" t="s">
        <v>96</v>
      </c>
      <c r="C55" s="28">
        <f t="shared" ref="C55:L55" si="38">C54*P59</f>
        <v>14352</v>
      </c>
      <c r="D55" s="28">
        <f t="shared" si="38"/>
        <v>14544.36</v>
      </c>
      <c r="E55" s="28">
        <f t="shared" si="38"/>
        <v>28339.519999999997</v>
      </c>
      <c r="F55" s="28">
        <f t="shared" si="38"/>
        <v>10079.654999999999</v>
      </c>
      <c r="G55" s="28">
        <f t="shared" si="38"/>
        <v>35659.879999999997</v>
      </c>
      <c r="H55" s="38">
        <f t="shared" si="38"/>
        <v>12635.693880000001</v>
      </c>
      <c r="I55" s="28">
        <f t="shared" si="38"/>
        <v>17737.242120000003</v>
      </c>
      <c r="J55" s="28">
        <f t="shared" si="38"/>
        <v>56075.374709999996</v>
      </c>
      <c r="K55" s="38">
        <f t="shared" si="38"/>
        <v>67179.996400000004</v>
      </c>
      <c r="L55" s="38">
        <f t="shared" si="38"/>
        <v>55828.696283919991</v>
      </c>
      <c r="M55" s="28">
        <f>M54*Z59</f>
        <v>128045.64327100001</v>
      </c>
      <c r="N55" s="3"/>
      <c r="O55" s="153"/>
      <c r="P55" s="154"/>
      <c r="Q55" s="154"/>
      <c r="R55" s="154"/>
      <c r="S55" s="154"/>
      <c r="T55" s="18"/>
      <c r="U55" s="17"/>
      <c r="V55" s="58"/>
      <c r="W55" s="58"/>
      <c r="X55" s="58"/>
      <c r="Y55" s="58"/>
    </row>
    <row r="56" spans="2:27">
      <c r="B56" s="14" t="s">
        <v>66</v>
      </c>
      <c r="C56" s="28">
        <f t="shared" ref="C56:K56" si="39">P41+P48</f>
        <v>44</v>
      </c>
      <c r="D56" s="28">
        <f t="shared" si="39"/>
        <v>59</v>
      </c>
      <c r="E56" s="28">
        <f t="shared" si="39"/>
        <v>0</v>
      </c>
      <c r="F56" s="28">
        <f t="shared" si="39"/>
        <v>0</v>
      </c>
      <c r="G56" s="28">
        <f t="shared" si="39"/>
        <v>0</v>
      </c>
      <c r="H56" s="38">
        <f>U41+U48</f>
        <v>191.86599999999999</v>
      </c>
      <c r="I56" s="28">
        <f>V41+V48</f>
        <v>463.99299999999999</v>
      </c>
      <c r="J56" s="28">
        <f t="shared" si="39"/>
        <v>608.08800000000008</v>
      </c>
      <c r="K56" s="38">
        <f t="shared" si="39"/>
        <v>583.5</v>
      </c>
      <c r="L56" s="38">
        <f>Y41+Y48</f>
        <v>338.3</v>
      </c>
      <c r="M56" s="28">
        <f>L56</f>
        <v>338.3</v>
      </c>
      <c r="N56" s="3"/>
      <c r="O56" s="257"/>
      <c r="P56" s="253"/>
      <c r="Q56" s="253"/>
      <c r="R56" s="253"/>
      <c r="S56" s="253"/>
      <c r="T56" s="253"/>
      <c r="U56" s="253"/>
      <c r="V56" s="253"/>
      <c r="W56" s="253"/>
      <c r="X56" s="253"/>
      <c r="Y56" s="253"/>
      <c r="Z56" s="255"/>
    </row>
    <row r="57" spans="2:27">
      <c r="B57" s="14" t="s">
        <v>68</v>
      </c>
      <c r="C57" s="28">
        <f t="shared" ref="C57:G57" si="40">P32</f>
        <v>692</v>
      </c>
      <c r="D57" s="28">
        <f t="shared" si="40"/>
        <v>772</v>
      </c>
      <c r="E57" s="28">
        <f t="shared" si="40"/>
        <v>636</v>
      </c>
      <c r="F57" s="28">
        <f t="shared" si="40"/>
        <v>458</v>
      </c>
      <c r="G57" s="28">
        <f t="shared" si="40"/>
        <v>1011</v>
      </c>
      <c r="H57" s="38">
        <f t="shared" ref="H57:K58" si="41">U32</f>
        <v>245.94</v>
      </c>
      <c r="I57" s="38">
        <f t="shared" si="41"/>
        <v>79.866</v>
      </c>
      <c r="J57" s="38">
        <f t="shared" si="41"/>
        <v>1249.713</v>
      </c>
      <c r="K57" s="38">
        <f t="shared" si="41"/>
        <v>2.4</v>
      </c>
      <c r="L57" s="38">
        <f t="shared" ref="L57" si="42">Y32</f>
        <v>3363.9</v>
      </c>
      <c r="M57" s="28">
        <f>L57</f>
        <v>3363.9</v>
      </c>
      <c r="N57" s="3"/>
      <c r="O57" s="258" t="s">
        <v>65</v>
      </c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56"/>
    </row>
    <row r="58" spans="2:27" ht="16.2" thickBot="1">
      <c r="B58" s="24" t="s">
        <v>95</v>
      </c>
      <c r="C58" s="39">
        <f>P33</f>
        <v>44</v>
      </c>
      <c r="D58" s="39">
        <f>Q33</f>
        <v>30</v>
      </c>
      <c r="E58" s="39">
        <f>R33</f>
        <v>244</v>
      </c>
      <c r="F58" s="39">
        <f>S33</f>
        <v>35</v>
      </c>
      <c r="G58" s="39">
        <f>T33</f>
        <v>313</v>
      </c>
      <c r="H58" s="232" t="str">
        <f t="shared" si="41"/>
        <v>-</v>
      </c>
      <c r="I58" s="40">
        <f t="shared" si="41"/>
        <v>0.876</v>
      </c>
      <c r="J58" s="40">
        <f t="shared" si="41"/>
        <v>2.456</v>
      </c>
      <c r="K58" s="40">
        <f t="shared" si="41"/>
        <v>1267.5</v>
      </c>
      <c r="L58" s="40">
        <f t="shared" ref="L58" si="43">Y33</f>
        <v>603.29999999999995</v>
      </c>
      <c r="M58" s="28">
        <f>L58</f>
        <v>603.29999999999995</v>
      </c>
      <c r="N58" s="34"/>
      <c r="O58" s="155" t="s">
        <v>67</v>
      </c>
      <c r="P58" s="76" t="s">
        <v>3</v>
      </c>
      <c r="Q58" s="76" t="s">
        <v>4</v>
      </c>
      <c r="R58" s="76" t="s">
        <v>5</v>
      </c>
      <c r="S58" s="76" t="s">
        <v>6</v>
      </c>
      <c r="T58" s="156" t="s">
        <v>7</v>
      </c>
      <c r="U58" s="76" t="s">
        <v>97</v>
      </c>
      <c r="V58" s="76" t="s">
        <v>101</v>
      </c>
      <c r="W58" s="76" t="s">
        <v>116</v>
      </c>
      <c r="X58" s="254" t="s">
        <v>122</v>
      </c>
      <c r="Y58" s="246" t="s">
        <v>123</v>
      </c>
      <c r="Z58" s="246" t="s">
        <v>136</v>
      </c>
    </row>
    <row r="59" spans="2:27">
      <c r="B59" s="225" t="str">
        <f t="shared" ref="B59:L59" si="44">O8</f>
        <v>Minority Int</v>
      </c>
      <c r="C59" s="197">
        <f t="shared" si="44"/>
        <v>2.8</v>
      </c>
      <c r="D59" s="197">
        <f t="shared" si="44"/>
        <v>6.6</v>
      </c>
      <c r="E59" s="197">
        <f t="shared" si="44"/>
        <v>6.64</v>
      </c>
      <c r="F59" s="197">
        <f t="shared" si="44"/>
        <v>6.6970000000000001</v>
      </c>
      <c r="G59" s="197">
        <f t="shared" si="44"/>
        <v>6.8150000000000004</v>
      </c>
      <c r="H59" s="232">
        <f t="shared" si="44"/>
        <v>0</v>
      </c>
      <c r="I59" s="232">
        <f t="shared" si="44"/>
        <v>0</v>
      </c>
      <c r="J59" s="232">
        <f t="shared" si="44"/>
        <v>0</v>
      </c>
      <c r="K59" s="202">
        <f t="shared" si="44"/>
        <v>177.4</v>
      </c>
      <c r="L59" s="233">
        <f t="shared" si="44"/>
        <v>124.6</v>
      </c>
      <c r="M59" s="202">
        <f>L59</f>
        <v>124.6</v>
      </c>
      <c r="N59" s="17"/>
      <c r="O59" s="248" t="s">
        <v>69</v>
      </c>
      <c r="P59" s="249">
        <v>80</v>
      </c>
      <c r="Q59" s="250">
        <v>80.400000000000006</v>
      </c>
      <c r="R59" s="250">
        <v>155.19999999999999</v>
      </c>
      <c r="S59" s="250">
        <v>55.05</v>
      </c>
      <c r="T59" s="251">
        <v>194.65</v>
      </c>
      <c r="U59" s="252">
        <v>14.06</v>
      </c>
      <c r="V59" s="252">
        <v>17.940000000000001</v>
      </c>
      <c r="W59" s="203">
        <v>48.99</v>
      </c>
      <c r="X59" s="203">
        <v>57.64</v>
      </c>
      <c r="Y59" s="203">
        <v>37.72</v>
      </c>
      <c r="Z59" s="259">
        <v>86.5</v>
      </c>
      <c r="AA59" s="204" t="s">
        <v>137</v>
      </c>
    </row>
    <row r="60" spans="2:27" ht="16.2" thickBot="1">
      <c r="B60" s="23" t="s">
        <v>20</v>
      </c>
      <c r="C60" s="41">
        <f t="shared" ref="C60:H60" si="45">C55+C56-C57</f>
        <v>13704</v>
      </c>
      <c r="D60" s="41">
        <f t="shared" si="45"/>
        <v>13831.36</v>
      </c>
      <c r="E60" s="41">
        <f t="shared" si="45"/>
        <v>27703.519999999997</v>
      </c>
      <c r="F60" s="41">
        <f t="shared" si="45"/>
        <v>9621.6549999999988</v>
      </c>
      <c r="G60" s="41">
        <f t="shared" si="45"/>
        <v>34648.879999999997</v>
      </c>
      <c r="H60" s="42">
        <f t="shared" si="45"/>
        <v>12581.61988</v>
      </c>
      <c r="I60" s="41">
        <f>I55+I56-I57-I58</f>
        <v>18120.493119999999</v>
      </c>
      <c r="J60" s="41">
        <f>J55+J56-J57-J58</f>
        <v>55431.293709999998</v>
      </c>
      <c r="K60" s="101">
        <f>K55+K56-K57-K58+K59</f>
        <v>66670.996400000004</v>
      </c>
      <c r="L60" s="101">
        <f t="shared" ref="L60" si="46">L55+L56-L57-L58+L59</f>
        <v>52324.396283919988</v>
      </c>
      <c r="M60" s="152">
        <f>M55+M56-M57-M58+M59</f>
        <v>124541.34327100002</v>
      </c>
      <c r="N60" s="3"/>
      <c r="O60" s="125" t="s">
        <v>70</v>
      </c>
      <c r="P60" s="158">
        <f t="shared" ref="P60:Y60" si="47">C34</f>
        <v>2.4900000000000002</v>
      </c>
      <c r="Q60" s="158">
        <f t="shared" si="47"/>
        <v>2.1800000000000002</v>
      </c>
      <c r="R60" s="158">
        <f t="shared" si="47"/>
        <v>3.74</v>
      </c>
      <c r="S60" s="158">
        <f t="shared" si="47"/>
        <v>3.85</v>
      </c>
      <c r="T60" s="159">
        <f t="shared" si="47"/>
        <v>4.42</v>
      </c>
      <c r="U60" s="158">
        <f t="shared" si="47"/>
        <v>0.06</v>
      </c>
      <c r="V60" s="158">
        <f t="shared" si="47"/>
        <v>0.35</v>
      </c>
      <c r="W60" s="158">
        <f t="shared" si="47"/>
        <v>0.73</v>
      </c>
      <c r="X60" s="158">
        <f t="shared" si="47"/>
        <v>0.89</v>
      </c>
      <c r="Y60" s="158">
        <f t="shared" si="47"/>
        <v>1.49</v>
      </c>
      <c r="Z60" s="158">
        <f>M34</f>
        <v>0.46</v>
      </c>
      <c r="AA60" s="260">
        <f>L34+M34-0.24</f>
        <v>1.71</v>
      </c>
    </row>
    <row r="61" spans="2:27"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3"/>
      <c r="O61" s="160" t="s">
        <v>71</v>
      </c>
      <c r="P61" s="161">
        <f t="shared" ref="P61:Y61" si="48">P6/C54</f>
        <v>39.55406911928651</v>
      </c>
      <c r="Q61" s="161">
        <f t="shared" si="48"/>
        <v>40.138197899391926</v>
      </c>
      <c r="R61" s="161">
        <f t="shared" si="48"/>
        <v>40.799561883899237</v>
      </c>
      <c r="S61" s="161">
        <f t="shared" si="48"/>
        <v>39.2790824685964</v>
      </c>
      <c r="T61" s="161">
        <f t="shared" si="48"/>
        <v>43.766375545851531</v>
      </c>
      <c r="U61" s="81">
        <f t="shared" si="48"/>
        <v>1.5048358848022363</v>
      </c>
      <c r="V61" s="81">
        <f t="shared" si="48"/>
        <v>1.9759754748163747</v>
      </c>
      <c r="W61" s="81">
        <f t="shared" si="48"/>
        <v>3.5924137864757926</v>
      </c>
      <c r="X61" s="81">
        <f t="shared" si="48"/>
        <v>5.5597120573826047</v>
      </c>
      <c r="Y61" s="81">
        <f t="shared" si="48"/>
        <v>11.288900904919135</v>
      </c>
      <c r="Z61" s="81" t="s">
        <v>13</v>
      </c>
    </row>
    <row r="62" spans="2:27">
      <c r="B62" s="3"/>
      <c r="C62" s="58"/>
      <c r="D62" s="58"/>
      <c r="E62" s="58"/>
      <c r="F62" s="58"/>
      <c r="G62" s="58"/>
      <c r="H62" s="58"/>
      <c r="I62" s="58"/>
      <c r="J62" s="58"/>
      <c r="K62" s="58"/>
      <c r="L62" s="208"/>
      <c r="M62" s="208"/>
      <c r="N62" s="3"/>
      <c r="O62" s="125" t="s">
        <v>72</v>
      </c>
      <c r="P62" s="80">
        <f>P59/P60</f>
        <v>32.128514056224894</v>
      </c>
      <c r="Q62" s="80">
        <f t="shared" ref="Q62:T62" si="49">Q59/Q60</f>
        <v>36.88073394495413</v>
      </c>
      <c r="R62" s="80">
        <f t="shared" si="49"/>
        <v>41.497326203208551</v>
      </c>
      <c r="S62" s="80">
        <f t="shared" si="49"/>
        <v>14.298701298701298</v>
      </c>
      <c r="T62" s="80">
        <f t="shared" si="49"/>
        <v>44.03846153846154</v>
      </c>
      <c r="U62" s="80">
        <f>U59/U60</f>
        <v>234.33333333333334</v>
      </c>
      <c r="V62" s="80">
        <f>V59/V60</f>
        <v>51.257142857142867</v>
      </c>
      <c r="W62" s="80">
        <f t="shared" ref="W62:Y62" si="50">W59/W60</f>
        <v>67.109589041095902</v>
      </c>
      <c r="X62" s="80">
        <f t="shared" si="50"/>
        <v>64.764044943820224</v>
      </c>
      <c r="Y62" s="80">
        <f t="shared" si="50"/>
        <v>25.315436241610737</v>
      </c>
      <c r="Z62" s="80">
        <f>Z59/AA60</f>
        <v>50.584795321637429</v>
      </c>
    </row>
    <row r="63" spans="2:27">
      <c r="B63" s="3"/>
      <c r="C63" s="58"/>
      <c r="D63" s="58"/>
      <c r="E63" s="58"/>
      <c r="F63" s="58"/>
      <c r="G63" s="58"/>
      <c r="H63" s="58"/>
      <c r="I63" s="58"/>
      <c r="J63" s="58"/>
      <c r="K63" s="58"/>
      <c r="L63" s="208"/>
      <c r="M63" s="208"/>
      <c r="N63" s="3"/>
      <c r="O63" s="125" t="s">
        <v>73</v>
      </c>
      <c r="P63" s="80">
        <f>P59/P61</f>
        <v>2.0225479143179257</v>
      </c>
      <c r="Q63" s="80">
        <f t="shared" ref="Q63:T63" si="51">Q59/Q61</f>
        <v>2.0030794656383422</v>
      </c>
      <c r="R63" s="80">
        <f t="shared" si="51"/>
        <v>3.8039624161073817</v>
      </c>
      <c r="S63" s="80">
        <f t="shared" si="51"/>
        <v>1.4015093159065626</v>
      </c>
      <c r="T63" s="80">
        <f t="shared" si="51"/>
        <v>4.4474781741082561</v>
      </c>
      <c r="U63" s="80">
        <f>U59/U61</f>
        <v>9.343211536883139</v>
      </c>
      <c r="V63" s="80">
        <f>V59/V61</f>
        <v>9.079060053448865</v>
      </c>
      <c r="W63" s="80">
        <f>W59/W61</f>
        <v>13.637070480140839</v>
      </c>
      <c r="X63" s="80">
        <f>X59/X61</f>
        <v>10.367443386472015</v>
      </c>
      <c r="Y63" s="80">
        <f>Y59/Y61</f>
        <v>3.3413350261196393</v>
      </c>
      <c r="Z63" s="80" t="s">
        <v>13</v>
      </c>
    </row>
    <row r="64" spans="2:27">
      <c r="B64" s="3"/>
      <c r="C64" s="58"/>
      <c r="D64" s="58"/>
      <c r="E64" s="58"/>
      <c r="F64" s="58"/>
      <c r="G64" s="58"/>
      <c r="H64" s="58"/>
      <c r="I64" s="58"/>
      <c r="K64" s="58"/>
      <c r="L64" s="58"/>
      <c r="M64" s="58"/>
      <c r="N64" s="3"/>
      <c r="O64" s="125" t="s">
        <v>74</v>
      </c>
      <c r="P64" s="80">
        <f t="shared" ref="P64:X64" si="52">C60/C15</f>
        <v>19.94759825327511</v>
      </c>
      <c r="Q64" s="80">
        <f t="shared" si="52"/>
        <v>26.857009708737866</v>
      </c>
      <c r="R64" s="80">
        <f t="shared" si="52"/>
        <v>34.935081967213108</v>
      </c>
      <c r="S64" s="80">
        <f t="shared" si="52"/>
        <v>12.335455128205126</v>
      </c>
      <c r="T64" s="80">
        <f t="shared" si="52"/>
        <v>30.826405693950175</v>
      </c>
      <c r="U64" s="80">
        <f t="shared" si="52"/>
        <v>266.95565202631025</v>
      </c>
      <c r="V64" s="80">
        <f t="shared" si="52"/>
        <v>34.68209541527424</v>
      </c>
      <c r="W64" s="80">
        <f t="shared" si="52"/>
        <v>54.884153582931795</v>
      </c>
      <c r="X64" s="80">
        <f t="shared" si="52"/>
        <v>49.323811792557528</v>
      </c>
      <c r="Y64" s="80">
        <f t="shared" ref="Y64" si="53">L60/L15</f>
        <v>27.651216130592406</v>
      </c>
      <c r="Z64" s="80" t="s">
        <v>13</v>
      </c>
    </row>
    <row r="65" spans="2:26">
      <c r="B65" s="162"/>
      <c r="C65" s="58"/>
      <c r="D65" s="58"/>
      <c r="E65" s="58"/>
      <c r="F65" s="58"/>
      <c r="G65" s="58"/>
      <c r="H65" s="58"/>
      <c r="I65" s="58"/>
      <c r="K65" s="58"/>
      <c r="L65" s="58"/>
      <c r="M65" s="58"/>
      <c r="N65" s="3"/>
      <c r="O65" s="125" t="s">
        <v>75</v>
      </c>
      <c r="P65" s="80">
        <f t="shared" ref="P65:Y65" si="54">C5/(SUM(P13:P15))</f>
        <v>4.0350654837346855</v>
      </c>
      <c r="Q65" s="80">
        <f t="shared" si="54"/>
        <v>3.885149347917543</v>
      </c>
      <c r="R65" s="80">
        <f t="shared" si="54"/>
        <v>4.9895059029296025</v>
      </c>
      <c r="S65" s="80">
        <f t="shared" si="54"/>
        <v>4.7415053763440858</v>
      </c>
      <c r="T65" s="80">
        <f t="shared" si="54"/>
        <v>5.9170068027210885</v>
      </c>
      <c r="U65" s="80">
        <f t="shared" si="54"/>
        <v>3.8641962928966471</v>
      </c>
      <c r="V65" s="80">
        <f t="shared" si="54"/>
        <v>5.9402723014508174</v>
      </c>
      <c r="W65" s="80">
        <f t="shared" si="54"/>
        <v>8.5998806942328194</v>
      </c>
      <c r="X65" s="80">
        <f t="shared" si="54"/>
        <v>5.9559154929577458</v>
      </c>
      <c r="Y65" s="80">
        <f t="shared" si="54"/>
        <v>5.1395955127192288</v>
      </c>
      <c r="Z65" s="80" t="s">
        <v>13</v>
      </c>
    </row>
    <row r="66" spans="2:26">
      <c r="B66" s="162"/>
      <c r="C66" s="58"/>
      <c r="D66" s="58"/>
      <c r="E66" s="58"/>
      <c r="F66" s="58"/>
      <c r="G66" s="58"/>
      <c r="H66" s="58"/>
      <c r="I66" s="58"/>
      <c r="K66" s="58"/>
      <c r="L66" s="58"/>
      <c r="M66" s="58"/>
      <c r="N66" s="3"/>
      <c r="O66" s="160" t="s">
        <v>76</v>
      </c>
      <c r="P66" s="82">
        <f t="shared" ref="P66:Y66" si="55">C28/P6</f>
        <v>6.2852311161217589E-2</v>
      </c>
      <c r="Q66" s="82">
        <f t="shared" si="55"/>
        <v>5.4400220355322958E-2</v>
      </c>
      <c r="R66" s="82">
        <f t="shared" si="55"/>
        <v>9.1543624161073825E-2</v>
      </c>
      <c r="S66" s="82">
        <f t="shared" si="55"/>
        <v>9.7886540600667413E-2</v>
      </c>
      <c r="T66" s="82">
        <f t="shared" si="55"/>
        <v>0.10102269892741332</v>
      </c>
      <c r="U66" s="82">
        <f t="shared" si="55"/>
        <v>4.3975382895356609E-2</v>
      </c>
      <c r="V66" s="82">
        <f t="shared" si="55"/>
        <v>0.18848428295241257</v>
      </c>
      <c r="W66" s="82">
        <f t="shared" si="55"/>
        <v>0.19416018702421028</v>
      </c>
      <c r="X66" s="82">
        <f t="shared" si="55"/>
        <v>0.16210126699486105</v>
      </c>
      <c r="Y66" s="82">
        <f t="shared" si="55"/>
        <v>0.11824520453661304</v>
      </c>
      <c r="Z66" s="82" t="s">
        <v>13</v>
      </c>
    </row>
    <row r="67" spans="2:26">
      <c r="B67" s="162"/>
      <c r="C67" s="58"/>
      <c r="D67" s="58"/>
      <c r="E67" s="58"/>
      <c r="F67" s="58"/>
      <c r="G67" s="58"/>
      <c r="H67" s="58"/>
      <c r="I67" s="58"/>
      <c r="K67" s="58"/>
      <c r="L67" s="58"/>
      <c r="M67" s="58"/>
      <c r="N67" s="3"/>
      <c r="O67" s="160" t="s">
        <v>77</v>
      </c>
      <c r="P67" s="82">
        <f t="shared" ref="P67:Y67" si="56">(C15-C19)/P52</f>
        <v>6.420501515569027E-2</v>
      </c>
      <c r="Q67" s="82">
        <f t="shared" si="56"/>
        <v>3.6882487548795265E-2</v>
      </c>
      <c r="R67" s="82">
        <f t="shared" si="56"/>
        <v>7.4054621848739496E-2</v>
      </c>
      <c r="S67" s="82">
        <f t="shared" si="56"/>
        <v>7.4724105836989768E-2</v>
      </c>
      <c r="T67" s="82">
        <f t="shared" si="56"/>
        <v>0.10886075949367088</v>
      </c>
      <c r="U67" s="82">
        <f t="shared" si="56"/>
        <v>2.0834181932188622E-2</v>
      </c>
      <c r="V67" s="82">
        <f t="shared" si="56"/>
        <v>0.24413371717290416</v>
      </c>
      <c r="W67" s="82">
        <f t="shared" si="56"/>
        <v>0.22457714277772356</v>
      </c>
      <c r="X67" s="82">
        <f t="shared" si="56"/>
        <v>0.17722895309102207</v>
      </c>
      <c r="Y67" s="82">
        <f t="shared" si="56"/>
        <v>9.4571106669912586E-2</v>
      </c>
      <c r="Z67" s="82" t="s">
        <v>13</v>
      </c>
    </row>
    <row r="68" spans="2:26">
      <c r="B68" s="162"/>
      <c r="C68" s="58"/>
      <c r="D68" s="58"/>
      <c r="E68" s="58"/>
      <c r="F68" s="58"/>
      <c r="G68" s="58"/>
      <c r="H68" s="58"/>
      <c r="I68" s="58"/>
      <c r="K68" s="58"/>
      <c r="L68" s="58"/>
      <c r="M68" s="58"/>
      <c r="N68" s="3"/>
      <c r="O68" s="125" t="s">
        <v>78</v>
      </c>
      <c r="P68" s="80">
        <f t="shared" ref="P68:Y68" si="57">C56/P6</f>
        <v>6.2006764374295375E-3</v>
      </c>
      <c r="Q68" s="80">
        <f t="shared" si="57"/>
        <v>8.1256025340862136E-3</v>
      </c>
      <c r="R68" s="80">
        <f t="shared" si="57"/>
        <v>0</v>
      </c>
      <c r="S68" s="80">
        <f t="shared" si="57"/>
        <v>0</v>
      </c>
      <c r="T68" s="80">
        <f t="shared" si="57"/>
        <v>0</v>
      </c>
      <c r="U68" s="80">
        <f t="shared" si="57"/>
        <v>0.14187148262376392</v>
      </c>
      <c r="V68" s="80">
        <f t="shared" si="57"/>
        <v>0.23750142682158409</v>
      </c>
      <c r="W68" s="80">
        <f t="shared" si="57"/>
        <v>0.14788200626413403</v>
      </c>
      <c r="X68" s="80">
        <f t="shared" si="57"/>
        <v>9.0047685921079035E-2</v>
      </c>
      <c r="Y68" s="80">
        <f t="shared" si="57"/>
        <v>2.0247179579256067E-2</v>
      </c>
      <c r="Z68" s="80" t="s">
        <v>13</v>
      </c>
    </row>
    <row r="69" spans="2:26">
      <c r="B69" s="162"/>
      <c r="C69" s="163"/>
      <c r="D69" s="163"/>
      <c r="E69" s="58"/>
      <c r="F69" s="58"/>
      <c r="G69" s="58"/>
      <c r="H69" s="58"/>
      <c r="I69" s="58"/>
      <c r="K69" s="58"/>
      <c r="L69" s="58"/>
      <c r="M69" s="58"/>
      <c r="N69" s="3"/>
      <c r="O69" s="160" t="s">
        <v>79</v>
      </c>
      <c r="P69" s="81">
        <f>(C56-C57-C58)/P6</f>
        <v>-9.7519729425028179E-2</v>
      </c>
      <c r="Q69" s="81">
        <f>(D56-D57-D58)/Q6</f>
        <v>-0.10232750309874673</v>
      </c>
      <c r="R69" s="81">
        <f>(E56-E57-E58)/R6</f>
        <v>-0.11812080536912752</v>
      </c>
      <c r="S69" s="81">
        <f>(F56-F57-F58)/S6</f>
        <v>-6.8548387096774188E-2</v>
      </c>
      <c r="T69" s="81">
        <f>(G56-G57-G58)/T6</f>
        <v>-0.16512846096283362</v>
      </c>
      <c r="U69" s="81">
        <f>(H56-H57)/U6</f>
        <v>-3.9983939579693192E-2</v>
      </c>
      <c r="V69" s="81">
        <f>(I56-I57-I58)/V6</f>
        <v>0.19617248391850509</v>
      </c>
      <c r="W69" s="81">
        <f>(J56-J57-J58)/W6</f>
        <v>-0.15663520818797555</v>
      </c>
      <c r="X69" s="81">
        <f>(K56-K57-K58)/X6</f>
        <v>-0.10592756061050325</v>
      </c>
      <c r="Y69" s="81">
        <f>(L56-L57-L58)/Y6</f>
        <v>-0.2171888559715115</v>
      </c>
      <c r="Z69" s="81" t="s">
        <v>13</v>
      </c>
    </row>
    <row r="70" spans="2:26">
      <c r="B70" s="162"/>
      <c r="C70" s="35"/>
      <c r="D70" s="163"/>
      <c r="E70" s="58"/>
      <c r="F70" s="58"/>
      <c r="G70" s="58"/>
      <c r="H70" s="58"/>
      <c r="I70" s="58"/>
      <c r="K70" s="58"/>
      <c r="L70" s="205"/>
      <c r="M70" s="205"/>
      <c r="N70" s="205"/>
      <c r="O70" s="125" t="s">
        <v>80</v>
      </c>
      <c r="P70" s="19">
        <v>118</v>
      </c>
      <c r="Q70" s="19">
        <v>105</v>
      </c>
      <c r="R70" s="19">
        <v>98</v>
      </c>
      <c r="S70" s="19">
        <v>109</v>
      </c>
      <c r="T70" s="20">
        <v>127</v>
      </c>
      <c r="U70" s="19" t="s">
        <v>13</v>
      </c>
      <c r="V70" s="19">
        <f>(AVERAGE(U31:V31)/I5*365)</f>
        <v>22.721530163161873</v>
      </c>
      <c r="W70" s="19">
        <f>(AVERAGE(V31:W31)/J5*365)</f>
        <v>52.888961404186659</v>
      </c>
      <c r="X70" s="19">
        <f>(AVERAGE(W31:X31)/K5*365)</f>
        <v>91.334308120699049</v>
      </c>
      <c r="Y70" s="19">
        <f>(AVERAGE(X31:Y31)/L5*365)</f>
        <v>71.724180334168508</v>
      </c>
      <c r="Z70" s="19" t="s">
        <v>13</v>
      </c>
    </row>
    <row r="71" spans="2:26">
      <c r="B71" s="162"/>
      <c r="C71" s="3"/>
      <c r="D71" s="58"/>
      <c r="E71" s="58"/>
      <c r="F71" s="58"/>
      <c r="G71" s="58"/>
      <c r="H71" s="58"/>
      <c r="I71" s="58"/>
      <c r="K71" s="58"/>
      <c r="L71" s="206"/>
      <c r="M71" s="206"/>
      <c r="N71" s="3"/>
      <c r="O71" s="125" t="s">
        <v>81</v>
      </c>
      <c r="P71" s="19">
        <v>82</v>
      </c>
      <c r="Q71" s="19">
        <v>63</v>
      </c>
      <c r="R71" s="19">
        <v>76</v>
      </c>
      <c r="S71" s="19">
        <v>73</v>
      </c>
      <c r="T71" s="20">
        <v>64</v>
      </c>
      <c r="U71" s="19" t="s">
        <v>13</v>
      </c>
      <c r="V71" s="19">
        <f>AVERAGE(U42:V42)/SUM(I9:I11)*365</f>
        <v>31.593658499510223</v>
      </c>
      <c r="W71" s="19">
        <f>AVERAGE(V42:W42)/SUM(J9:J11)*365</f>
        <v>23.92444660954671</v>
      </c>
      <c r="X71" s="19">
        <f>AVERAGE(W42:X42)/SUM(K9:K11)*365</f>
        <v>44.86333081218369</v>
      </c>
      <c r="Y71" s="19">
        <f>AVERAGE(X42:Y42)/SUM(L9:L11)*365</f>
        <v>71.565402912685684</v>
      </c>
      <c r="Z71" s="19" t="s">
        <v>13</v>
      </c>
    </row>
    <row r="72" spans="2:26">
      <c r="B72" s="3"/>
      <c r="C72" s="3"/>
      <c r="D72" s="3"/>
      <c r="E72" s="3"/>
      <c r="F72" s="3"/>
      <c r="G72" s="3"/>
      <c r="H72" s="3"/>
      <c r="I72" s="3"/>
      <c r="K72" s="3"/>
      <c r="L72" s="17"/>
      <c r="M72" s="17"/>
      <c r="N72" s="3"/>
      <c r="O72" s="125" t="s">
        <v>82</v>
      </c>
      <c r="P72" s="19">
        <v>167</v>
      </c>
      <c r="Q72" s="19">
        <v>137</v>
      </c>
      <c r="R72" s="19">
        <v>140</v>
      </c>
      <c r="S72" s="19">
        <v>124</v>
      </c>
      <c r="T72" s="20">
        <v>169</v>
      </c>
      <c r="U72" s="19" t="s">
        <v>13</v>
      </c>
      <c r="V72" s="19">
        <f>(AVERAGE(U28:V28)/SUM(I9:I11)*365)</f>
        <v>158.52467394002272</v>
      </c>
      <c r="W72" s="19">
        <f>(AVERAGE(V28:W28)/SUM(J9:J11)*365)</f>
        <v>98.156609206464069</v>
      </c>
      <c r="X72" s="19">
        <f>(AVERAGE(W28:X28)/SUM(K9:K11)*365)</f>
        <v>64.136921769660304</v>
      </c>
      <c r="Y72" s="19">
        <f>(AVERAGE(X28:Y28)/SUM(L9:L11)*365)</f>
        <v>125.5030611027921</v>
      </c>
      <c r="Z72" s="19" t="s">
        <v>13</v>
      </c>
    </row>
    <row r="73" spans="2:26" ht="16.2" thickBot="1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164" t="s">
        <v>83</v>
      </c>
      <c r="P73" s="25">
        <f t="shared" ref="P73:Q73" si="58">P70-P71+P72</f>
        <v>203</v>
      </c>
      <c r="Q73" s="25">
        <f t="shared" si="58"/>
        <v>179</v>
      </c>
      <c r="R73" s="25">
        <v>120</v>
      </c>
      <c r="S73" s="25">
        <v>122</v>
      </c>
      <c r="T73" s="26">
        <v>131</v>
      </c>
      <c r="U73" s="25">
        <v>82</v>
      </c>
      <c r="V73" s="25">
        <f>(V27-V39)/I4*365</f>
        <v>166.0108304346185</v>
      </c>
      <c r="W73" s="25">
        <f>(W27-W39)/J4*365</f>
        <v>180.5038133808666</v>
      </c>
      <c r="X73" s="25">
        <f>(X27-X39)/K4*365</f>
        <v>155.56973774446041</v>
      </c>
      <c r="Y73" s="25">
        <f>(Y27-Y39)/L4*365</f>
        <v>299.02935118434601</v>
      </c>
      <c r="Z73" s="25" t="s">
        <v>13</v>
      </c>
    </row>
    <row r="74" spans="2:26">
      <c r="N74" s="3"/>
      <c r="T74" s="30"/>
      <c r="U74" s="30"/>
      <c r="Z74" s="186"/>
    </row>
    <row r="75" spans="2:26">
      <c r="N75" s="3"/>
      <c r="Y75" s="186"/>
    </row>
    <row r="76" spans="2:26">
      <c r="N76" s="3"/>
    </row>
    <row r="77" spans="2:26">
      <c r="N77" s="3"/>
    </row>
    <row r="1048570" spans="11:13">
      <c r="K1048570" s="28">
        <v>0</v>
      </c>
      <c r="L1048570" s="28">
        <v>0</v>
      </c>
      <c r="M1048570" s="237"/>
    </row>
  </sheetData>
  <mergeCells count="4">
    <mergeCell ref="O2:Y2"/>
    <mergeCell ref="B1:Y1"/>
    <mergeCell ref="B2:M2"/>
    <mergeCell ref="O57:Z57"/>
  </mergeCells>
  <phoneticPr fontId="8" type="noConversion"/>
  <pageMargins left="0.7" right="0.7" top="0.75" bottom="0.75" header="0.3" footer="0.3"/>
  <pageSetup paperSize="9" scale="10" orientation="portrait" r:id="rId1"/>
  <ignoredErrors>
    <ignoredError sqref="P65:T65 V65:W65 P46:V46 P27:T27 P36:T36 P31:T31 P39:T39 P37:T37 P29:W29 P28:T28 P30:T30 P32:T32 P33:T33 P34:T34 P35:T35 P38:V38 W70 W72:Y72 X70:Y70 W71:Y71 V70:V72" formulaRange="1"/>
    <ignoredError sqref="S54 I23 U6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4"/>
  <sheetViews>
    <sheetView workbookViewId="0">
      <selection activeCell="D9" sqref="D9"/>
    </sheetView>
  </sheetViews>
  <sheetFormatPr defaultColWidth="8.69921875" defaultRowHeight="15.6"/>
  <cols>
    <col min="1" max="1" width="20" bestFit="1" customWidth="1"/>
    <col min="6" max="6" width="7.59765625" bestFit="1" customWidth="1"/>
    <col min="8" max="8" width="18.09765625" bestFit="1" customWidth="1"/>
  </cols>
  <sheetData>
    <row r="1" spans="1:11">
      <c r="A1" t="s">
        <v>103</v>
      </c>
      <c r="B1" t="s">
        <v>104</v>
      </c>
      <c r="C1" t="s">
        <v>105</v>
      </c>
      <c r="D1" t="s">
        <v>106</v>
      </c>
      <c r="E1" t="s">
        <v>102</v>
      </c>
      <c r="F1" t="s">
        <v>107</v>
      </c>
      <c r="H1" t="s">
        <v>108</v>
      </c>
      <c r="I1">
        <v>411</v>
      </c>
      <c r="J1">
        <v>317</v>
      </c>
      <c r="K1" s="32">
        <f>I1/J1-1</f>
        <v>0.29652996845425861</v>
      </c>
    </row>
    <row r="2" spans="1:11">
      <c r="A2" t="s">
        <v>108</v>
      </c>
      <c r="B2">
        <v>216</v>
      </c>
      <c r="C2">
        <v>165</v>
      </c>
      <c r="D2" s="32">
        <f>B2/C2-1</f>
        <v>0.30909090909090908</v>
      </c>
      <c r="E2">
        <v>195</v>
      </c>
      <c r="F2" s="32">
        <f>B2/E2-1</f>
        <v>0.10769230769230775</v>
      </c>
      <c r="H2" t="s">
        <v>109</v>
      </c>
      <c r="I2">
        <v>197</v>
      </c>
      <c r="J2">
        <v>161</v>
      </c>
      <c r="K2" s="32">
        <f t="shared" ref="K2:K13" si="0">I2/J2-1</f>
        <v>0.22360248447204967</v>
      </c>
    </row>
    <row r="3" spans="1:11">
      <c r="A3" t="s">
        <v>109</v>
      </c>
      <c r="B3">
        <v>104</v>
      </c>
      <c r="C3">
        <v>82</v>
      </c>
      <c r="D3" s="32">
        <f t="shared" ref="D3:D14" si="1">B3/C3-1</f>
        <v>0.26829268292682928</v>
      </c>
      <c r="E3">
        <v>92</v>
      </c>
      <c r="F3" s="32">
        <f t="shared" ref="F3:F14" si="2">B3/E3-1</f>
        <v>0.13043478260869557</v>
      </c>
      <c r="H3" t="s">
        <v>21</v>
      </c>
      <c r="I3">
        <f>I10+I9+I7+I6-I5</f>
        <v>214</v>
      </c>
      <c r="J3">
        <v>156</v>
      </c>
      <c r="K3" s="32">
        <f t="shared" si="0"/>
        <v>0.37179487179487181</v>
      </c>
    </row>
    <row r="4" spans="1:11">
      <c r="A4" t="s">
        <v>21</v>
      </c>
      <c r="B4">
        <f>B11+B10+B8+B7-B6</f>
        <v>112</v>
      </c>
      <c r="C4">
        <v>83</v>
      </c>
      <c r="D4" s="32">
        <f t="shared" si="1"/>
        <v>0.34939759036144569</v>
      </c>
      <c r="E4">
        <v>103</v>
      </c>
      <c r="F4" s="32">
        <f t="shared" si="2"/>
        <v>8.737864077669899E-2</v>
      </c>
      <c r="H4" t="s">
        <v>110</v>
      </c>
      <c r="I4" s="33">
        <f>I3/I1</f>
        <v>0.52068126520681268</v>
      </c>
      <c r="J4" s="31">
        <v>0.49209999999999998</v>
      </c>
      <c r="K4" s="32">
        <f t="shared" si="0"/>
        <v>5.8080197534673195E-2</v>
      </c>
    </row>
    <row r="5" spans="1:11">
      <c r="A5" t="s">
        <v>110</v>
      </c>
      <c r="B5" s="33">
        <f>B4/B2</f>
        <v>0.51851851851851849</v>
      </c>
      <c r="C5" s="31">
        <v>0.503</v>
      </c>
      <c r="D5" s="32">
        <f t="shared" si="1"/>
        <v>3.0851925484132181E-2</v>
      </c>
      <c r="E5" s="31">
        <v>0.5282</v>
      </c>
      <c r="F5" s="32">
        <f t="shared" si="2"/>
        <v>-1.8329196292089178E-2</v>
      </c>
      <c r="H5" t="s">
        <v>27</v>
      </c>
      <c r="I5">
        <v>8</v>
      </c>
      <c r="J5">
        <v>2</v>
      </c>
      <c r="K5" s="32">
        <f t="shared" si="0"/>
        <v>3</v>
      </c>
    </row>
    <row r="6" spans="1:11">
      <c r="A6" t="s">
        <v>27</v>
      </c>
      <c r="B6">
        <v>4</v>
      </c>
      <c r="C6">
        <v>1</v>
      </c>
      <c r="D6" s="32">
        <f t="shared" si="1"/>
        <v>3</v>
      </c>
      <c r="E6">
        <v>3</v>
      </c>
      <c r="F6" s="32">
        <f t="shared" si="2"/>
        <v>0.33333333333333326</v>
      </c>
      <c r="H6" t="s">
        <v>25</v>
      </c>
      <c r="I6">
        <v>44</v>
      </c>
      <c r="J6">
        <v>86</v>
      </c>
      <c r="K6" s="32">
        <f t="shared" si="0"/>
        <v>-0.48837209302325579</v>
      </c>
    </row>
    <row r="7" spans="1:11">
      <c r="A7" t="s">
        <v>25</v>
      </c>
      <c r="B7">
        <v>25</v>
      </c>
      <c r="C7">
        <v>47</v>
      </c>
      <c r="D7" s="32">
        <f t="shared" si="1"/>
        <v>-0.46808510638297873</v>
      </c>
      <c r="E7" t="s">
        <v>111</v>
      </c>
      <c r="F7" s="32" t="e">
        <f t="shared" si="2"/>
        <v>#VALUE!</v>
      </c>
      <c r="H7" t="s">
        <v>26</v>
      </c>
      <c r="I7">
        <v>6</v>
      </c>
      <c r="J7">
        <v>2</v>
      </c>
      <c r="K7" s="32">
        <f t="shared" si="0"/>
        <v>2</v>
      </c>
    </row>
    <row r="8" spans="1:11">
      <c r="A8" t="s">
        <v>26</v>
      </c>
      <c r="B8">
        <v>4</v>
      </c>
      <c r="C8">
        <v>1</v>
      </c>
      <c r="D8" s="32">
        <f t="shared" si="1"/>
        <v>3</v>
      </c>
      <c r="E8">
        <v>2</v>
      </c>
      <c r="F8" s="32">
        <f t="shared" si="2"/>
        <v>1</v>
      </c>
      <c r="H8" t="s">
        <v>28</v>
      </c>
      <c r="I8">
        <v>172</v>
      </c>
      <c r="J8">
        <v>70</v>
      </c>
      <c r="K8" s="32">
        <f t="shared" si="0"/>
        <v>1.4571428571428573</v>
      </c>
    </row>
    <row r="9" spans="1:11">
      <c r="A9" t="s">
        <v>28</v>
      </c>
      <c r="B9">
        <v>87</v>
      </c>
      <c r="C9">
        <v>36</v>
      </c>
      <c r="D9" s="32">
        <f t="shared" si="1"/>
        <v>1.4166666666666665</v>
      </c>
      <c r="E9">
        <v>85</v>
      </c>
      <c r="F9" s="32">
        <f t="shared" si="2"/>
        <v>2.3529411764705799E-2</v>
      </c>
      <c r="H9" t="s">
        <v>29</v>
      </c>
      <c r="I9">
        <v>44</v>
      </c>
      <c r="J9">
        <v>18</v>
      </c>
      <c r="K9" s="32">
        <f t="shared" si="0"/>
        <v>1.4444444444444446</v>
      </c>
    </row>
    <row r="10" spans="1:11">
      <c r="A10" t="s">
        <v>29</v>
      </c>
      <c r="B10">
        <v>29</v>
      </c>
      <c r="C10">
        <v>10</v>
      </c>
      <c r="D10" s="32">
        <f t="shared" si="1"/>
        <v>1.9</v>
      </c>
      <c r="E10">
        <v>15</v>
      </c>
      <c r="F10" s="32">
        <f t="shared" si="2"/>
        <v>0.93333333333333335</v>
      </c>
      <c r="H10" t="s">
        <v>32</v>
      </c>
      <c r="I10">
        <v>128</v>
      </c>
      <c r="J10">
        <v>52</v>
      </c>
      <c r="K10" s="32">
        <f t="shared" si="0"/>
        <v>1.4615384615384617</v>
      </c>
    </row>
    <row r="11" spans="1:11">
      <c r="A11" t="s">
        <v>32</v>
      </c>
      <c r="B11">
        <v>58</v>
      </c>
      <c r="C11">
        <v>26</v>
      </c>
      <c r="D11" s="32">
        <f t="shared" si="1"/>
        <v>1.2307692307692308</v>
      </c>
      <c r="E11">
        <v>70</v>
      </c>
      <c r="F11" s="32">
        <f t="shared" si="2"/>
        <v>-0.17142857142857137</v>
      </c>
      <c r="H11" t="s">
        <v>112</v>
      </c>
      <c r="I11" s="33">
        <f>I10/I1</f>
        <v>0.31143552311435524</v>
      </c>
      <c r="J11" s="31">
        <v>0.16400000000000001</v>
      </c>
      <c r="K11" s="32">
        <f t="shared" si="0"/>
        <v>0.89899709216070267</v>
      </c>
    </row>
    <row r="12" spans="1:11">
      <c r="A12" t="s">
        <v>112</v>
      </c>
      <c r="B12" s="33">
        <f>B11/B2</f>
        <v>0.26851851851851855</v>
      </c>
      <c r="C12" s="31">
        <v>0.15759999999999999</v>
      </c>
      <c r="D12" s="32">
        <f t="shared" si="1"/>
        <v>0.70379770633577765</v>
      </c>
      <c r="E12" s="31">
        <v>0.35899999999999999</v>
      </c>
      <c r="F12" s="32">
        <f t="shared" si="2"/>
        <v>-0.25203755287320739</v>
      </c>
      <c r="H12" t="s">
        <v>113</v>
      </c>
      <c r="I12">
        <v>8.82</v>
      </c>
      <c r="J12">
        <v>3.58</v>
      </c>
      <c r="K12" s="32">
        <f t="shared" si="0"/>
        <v>1.4636871508379889</v>
      </c>
    </row>
    <row r="13" spans="1:11">
      <c r="A13" t="s">
        <v>113</v>
      </c>
      <c r="B13">
        <v>4</v>
      </c>
      <c r="C13">
        <v>1.83</v>
      </c>
      <c r="D13" s="32">
        <f t="shared" si="1"/>
        <v>1.1857923497267757</v>
      </c>
      <c r="E13">
        <v>4.82</v>
      </c>
      <c r="F13" s="32">
        <f t="shared" si="2"/>
        <v>-0.17012448132780089</v>
      </c>
      <c r="H13" t="s">
        <v>114</v>
      </c>
      <c r="I13">
        <v>8.68</v>
      </c>
      <c r="J13">
        <v>3.53</v>
      </c>
      <c r="K13" s="32">
        <f t="shared" si="0"/>
        <v>1.4589235127478752</v>
      </c>
    </row>
    <row r="14" spans="1:11">
      <c r="A14" t="s">
        <v>114</v>
      </c>
      <c r="B14">
        <v>3.94</v>
      </c>
      <c r="C14">
        <v>1.81</v>
      </c>
      <c r="D14" s="32">
        <f t="shared" si="1"/>
        <v>1.1767955801104972</v>
      </c>
      <c r="E14">
        <v>4.76</v>
      </c>
      <c r="F14" s="32">
        <f t="shared" si="2"/>
        <v>-0.17226890756302515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Kewal Raithatha</dc:creator>
  <cp:lastModifiedBy>DELL</cp:lastModifiedBy>
  <cp:lastPrinted>2024-09-06T09:48:50Z</cp:lastPrinted>
  <dcterms:created xsi:type="dcterms:W3CDTF">2022-02-19T13:31:04Z</dcterms:created>
  <dcterms:modified xsi:type="dcterms:W3CDTF">2026-08-20T05:28:43Z</dcterms:modified>
</cp:coreProperties>
</file>