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E07FD56-2150-4DBA-94D2-2389AFB4F3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M53" i="1"/>
  <c r="Z62" i="1"/>
  <c r="Z60" i="1"/>
  <c r="AA60" i="1"/>
  <c r="Y61" i="1"/>
  <c r="M52" i="1"/>
  <c r="M8" i="1"/>
  <c r="M5" i="1"/>
  <c r="H5" i="1"/>
  <c r="H27" i="1" s="1"/>
  <c r="I5" i="1"/>
  <c r="J5" i="1"/>
  <c r="K5" i="1"/>
  <c r="I6" i="1"/>
  <c r="J6" i="1"/>
  <c r="K6" i="1"/>
  <c r="K7" i="1"/>
  <c r="I8" i="1"/>
  <c r="I15" i="1" s="1"/>
  <c r="H14" i="1"/>
  <c r="H8" i="1" s="1"/>
  <c r="H15" i="1" s="1"/>
  <c r="J14" i="1"/>
  <c r="J8" i="1" s="1"/>
  <c r="J15" i="1" s="1"/>
  <c r="K14" i="1"/>
  <c r="K8" i="1" s="1"/>
  <c r="K15" i="1" s="1"/>
  <c r="H29" i="1"/>
  <c r="H31" i="1"/>
  <c r="H33" i="1"/>
  <c r="I33" i="1"/>
  <c r="J33" i="1"/>
  <c r="K33" i="1"/>
  <c r="H34" i="1"/>
  <c r="I34" i="1"/>
  <c r="J34" i="1"/>
  <c r="K34" i="1"/>
  <c r="H44" i="1"/>
  <c r="I44" i="1"/>
  <c r="J44" i="1"/>
  <c r="K44" i="1"/>
  <c r="H47" i="1"/>
  <c r="H49" i="1" s="1"/>
  <c r="I47" i="1"/>
  <c r="I49" i="1" s="1"/>
  <c r="J47" i="1"/>
  <c r="K47" i="1"/>
  <c r="H48" i="1"/>
  <c r="I48" i="1"/>
  <c r="J48" i="1"/>
  <c r="K48" i="1"/>
  <c r="J49" i="1"/>
  <c r="K49" i="1"/>
  <c r="I52" i="1"/>
  <c r="I53" i="1" s="1"/>
  <c r="I57" i="1" s="1"/>
  <c r="J52" i="1"/>
  <c r="J53" i="1" s="1"/>
  <c r="J57" i="1" s="1"/>
  <c r="K52" i="1"/>
  <c r="K53" i="1" s="1"/>
  <c r="K57" i="1" s="1"/>
  <c r="H54" i="1"/>
  <c r="H57" i="1" s="1"/>
  <c r="H55" i="1"/>
  <c r="I55" i="1"/>
  <c r="J55" i="1"/>
  <c r="K55" i="1"/>
  <c r="H56" i="1"/>
  <c r="I56" i="1"/>
  <c r="J56" i="1"/>
  <c r="K56" i="1"/>
  <c r="L48" i="1"/>
  <c r="L34" i="1"/>
  <c r="L33" i="1"/>
  <c r="U72" i="1"/>
  <c r="V72" i="1"/>
  <c r="W72" i="1"/>
  <c r="X72" i="1"/>
  <c r="Y72" i="1"/>
  <c r="Y45" i="1"/>
  <c r="Y27" i="1"/>
  <c r="Y12" i="1"/>
  <c r="M15" i="1" l="1"/>
  <c r="H23" i="1"/>
  <c r="H25" i="1" s="1"/>
  <c r="H18" i="1"/>
  <c r="I23" i="1"/>
  <c r="I18" i="1"/>
  <c r="I16" i="1"/>
  <c r="J23" i="1"/>
  <c r="J18" i="1"/>
  <c r="J16" i="1"/>
  <c r="K23" i="1"/>
  <c r="K18" i="1"/>
  <c r="K17" i="1"/>
  <c r="K16" i="1"/>
  <c r="L55" i="1"/>
  <c r="U60" i="1"/>
  <c r="V60" i="1"/>
  <c r="W60" i="1"/>
  <c r="X60" i="1"/>
  <c r="Y60" i="1"/>
  <c r="Y62" i="1" s="1"/>
  <c r="L49" i="1"/>
  <c r="L47" i="1"/>
  <c r="L38" i="1"/>
  <c r="L44" i="1" s="1"/>
  <c r="Y49" i="1"/>
  <c r="Y43" i="1"/>
  <c r="Y42" i="1"/>
  <c r="M23" i="1" l="1"/>
  <c r="I26" i="1"/>
  <c r="I25" i="1"/>
  <c r="J26" i="1"/>
  <c r="J25" i="1"/>
  <c r="K26" i="1"/>
  <c r="K25" i="1"/>
  <c r="Y39" i="1"/>
  <c r="M26" i="1" l="1"/>
  <c r="M25" i="1"/>
  <c r="I28" i="1"/>
  <c r="I31" i="1"/>
  <c r="I27" i="1"/>
  <c r="J28" i="1"/>
  <c r="J31" i="1"/>
  <c r="J27" i="1"/>
  <c r="K29" i="1"/>
  <c r="K31" i="1"/>
  <c r="K28" i="1"/>
  <c r="K27" i="1"/>
  <c r="Y73" i="1"/>
  <c r="L56" i="1"/>
  <c r="M31" i="1" l="1"/>
  <c r="M27" i="1"/>
  <c r="Y6" i="1"/>
  <c r="L5" i="1"/>
  <c r="Y65" i="1" l="1"/>
  <c r="Y70" i="1"/>
  <c r="Y68" i="1"/>
  <c r="Y7" i="1"/>
  <c r="Y69" i="1"/>
  <c r="Y53" i="1"/>
  <c r="Y52" i="1" s="1"/>
  <c r="Y46" i="1"/>
  <c r="Y54" i="1" s="1"/>
  <c r="L8" i="1"/>
  <c r="L6" i="1"/>
  <c r="L15" i="1" l="1"/>
  <c r="X70" i="1"/>
  <c r="X65" i="1"/>
  <c r="X9" i="1"/>
  <c r="X49" i="1"/>
  <c r="X46" i="1" s="1"/>
  <c r="U46" i="1"/>
  <c r="T46" i="1"/>
  <c r="S46" i="1"/>
  <c r="R46" i="1"/>
  <c r="P46" i="1"/>
  <c r="X45" i="1"/>
  <c r="W45" i="1"/>
  <c r="X43" i="1"/>
  <c r="X42" i="1"/>
  <c r="Y71" i="1" s="1"/>
  <c r="X12" i="1"/>
  <c r="Y75" i="1" l="1"/>
  <c r="L23" i="1"/>
  <c r="L18" i="1"/>
  <c r="L16" i="1"/>
  <c r="Y67" i="1"/>
  <c r="X39" i="1"/>
  <c r="X62" i="1"/>
  <c r="L25" i="1" l="1"/>
  <c r="L26" i="1"/>
  <c r="L29" i="1" l="1"/>
  <c r="L28" i="1"/>
  <c r="L27" i="1"/>
  <c r="X27" i="1"/>
  <c r="X73" i="1" s="1"/>
  <c r="X53" i="1" l="1"/>
  <c r="X6" i="1"/>
  <c r="X69" i="1" s="1"/>
  <c r="W6" i="1"/>
  <c r="X52" i="1" l="1"/>
  <c r="X67" i="1" s="1"/>
  <c r="X61" i="1"/>
  <c r="X66" i="1"/>
  <c r="X7" i="1"/>
  <c r="X68" i="1"/>
  <c r="X54" i="1"/>
  <c r="L52" i="1"/>
  <c r="L53" i="1" l="1"/>
  <c r="L57" i="1" s="1"/>
  <c r="Y9" i="1" s="1"/>
  <c r="Y64" i="1" s="1"/>
  <c r="Y63" i="1"/>
  <c r="X63" i="1"/>
  <c r="X64" i="1" l="1"/>
  <c r="V6" i="1"/>
  <c r="U6" i="1" l="1"/>
  <c r="U7" i="1" s="1"/>
  <c r="G53" i="1" l="1"/>
  <c r="W62" i="1"/>
  <c r="V62" i="1"/>
  <c r="W12" i="1"/>
  <c r="V12" i="1"/>
  <c r="V68" i="1"/>
  <c r="L7" i="1"/>
  <c r="W70" i="1" l="1"/>
  <c r="V70" i="1"/>
  <c r="W68" i="1"/>
  <c r="V61" i="1"/>
  <c r="V63" i="1" s="1"/>
  <c r="V65" i="1"/>
  <c r="L17" i="1"/>
  <c r="W65" i="1"/>
  <c r="W43" i="1"/>
  <c r="W49" i="1"/>
  <c r="W42" i="1"/>
  <c r="W27" i="1"/>
  <c r="V49" i="1"/>
  <c r="V45" i="1"/>
  <c r="V43" i="1"/>
  <c r="X71" i="1" l="1"/>
  <c r="W71" i="1"/>
  <c r="V46" i="1"/>
  <c r="V7" i="1" s="1"/>
  <c r="W46" i="1"/>
  <c r="W7" i="1" s="1"/>
  <c r="W61" i="1"/>
  <c r="W63" i="1" s="1"/>
  <c r="W39" i="1"/>
  <c r="W73" i="1" s="1"/>
  <c r="W53" i="1" l="1"/>
  <c r="W52" i="1" s="1"/>
  <c r="B4" i="3"/>
  <c r="F4" i="3" s="1"/>
  <c r="K2" i="3"/>
  <c r="K5" i="3"/>
  <c r="K6" i="3"/>
  <c r="K7" i="3"/>
  <c r="K8" i="3"/>
  <c r="K9" i="3"/>
  <c r="K10" i="3"/>
  <c r="K12" i="3"/>
  <c r="K13" i="3"/>
  <c r="K1" i="3"/>
  <c r="F3" i="3"/>
  <c r="I3" i="3"/>
  <c r="K3" i="3" s="1"/>
  <c r="I11" i="3"/>
  <c r="K11" i="3" s="1"/>
  <c r="F6" i="3"/>
  <c r="F7" i="3"/>
  <c r="F8" i="3"/>
  <c r="F9" i="3"/>
  <c r="F10" i="3"/>
  <c r="F11" i="3"/>
  <c r="F13" i="3"/>
  <c r="F14" i="3"/>
  <c r="F2" i="3"/>
  <c r="D6" i="3"/>
  <c r="D7" i="3"/>
  <c r="D8" i="3"/>
  <c r="D9" i="3"/>
  <c r="D10" i="3"/>
  <c r="D11" i="3"/>
  <c r="D13" i="3"/>
  <c r="D14" i="3"/>
  <c r="D2" i="3"/>
  <c r="B12" i="3"/>
  <c r="D12" i="3" s="1"/>
  <c r="V27" i="1"/>
  <c r="W54" i="1"/>
  <c r="B5" i="3" l="1"/>
  <c r="F5" i="3" s="1"/>
  <c r="V66" i="1"/>
  <c r="W9" i="1"/>
  <c r="W64" i="1" s="1"/>
  <c r="W66" i="1"/>
  <c r="W69" i="1"/>
  <c r="F12" i="3"/>
  <c r="D5" i="3"/>
  <c r="I4" i="3"/>
  <c r="K4" i="3" s="1"/>
  <c r="W67" i="1"/>
  <c r="D4" i="3"/>
  <c r="D3" i="3"/>
  <c r="V39" i="1" l="1"/>
  <c r="V73" i="1" l="1"/>
  <c r="U45" i="1"/>
  <c r="U43" i="1"/>
  <c r="U18" i="1"/>
  <c r="U42" i="1"/>
  <c r="V71" i="1" l="1"/>
  <c r="U71" i="1"/>
  <c r="V69" i="1"/>
  <c r="V54" i="1"/>
  <c r="V53" i="1"/>
  <c r="V52" i="1" s="1"/>
  <c r="U39" i="1"/>
  <c r="D56" i="1"/>
  <c r="E56" i="1"/>
  <c r="F56" i="1"/>
  <c r="G56" i="1"/>
  <c r="C56" i="1"/>
  <c r="V67" i="1" l="1"/>
  <c r="V9" i="1"/>
  <c r="V64" i="1" s="1"/>
  <c r="D55" i="1"/>
  <c r="E55" i="1"/>
  <c r="F55" i="1"/>
  <c r="G55" i="1"/>
  <c r="C55" i="1"/>
  <c r="D54" i="1"/>
  <c r="E54" i="1"/>
  <c r="F54" i="1"/>
  <c r="G54" i="1"/>
  <c r="C54" i="1"/>
  <c r="T6" i="1" l="1"/>
  <c r="T7" i="1" s="1"/>
  <c r="R12" i="1"/>
  <c r="Q12" i="1"/>
  <c r="S12" i="1"/>
  <c r="T12" i="1"/>
  <c r="U12" i="1"/>
  <c r="D44" i="1"/>
  <c r="G44" i="1"/>
  <c r="P12" i="1"/>
  <c r="C44" i="1"/>
  <c r="T60" i="1"/>
  <c r="T62" i="1" s="1"/>
  <c r="S60" i="1"/>
  <c r="S62" i="1" s="1"/>
  <c r="R60" i="1"/>
  <c r="R62" i="1" s="1"/>
  <c r="Q60" i="1"/>
  <c r="Q62" i="1" s="1"/>
  <c r="P60" i="1"/>
  <c r="P62" i="1" s="1"/>
  <c r="G57" i="1"/>
  <c r="F53" i="1"/>
  <c r="F57" i="1" s="1"/>
  <c r="E53" i="1"/>
  <c r="E57" i="1" s="1"/>
  <c r="D53" i="1"/>
  <c r="D57" i="1" s="1"/>
  <c r="C53" i="1"/>
  <c r="C57" i="1" s="1"/>
  <c r="F49" i="1"/>
  <c r="E49" i="1"/>
  <c r="D49" i="1"/>
  <c r="C49" i="1"/>
  <c r="F48" i="1"/>
  <c r="E48" i="1"/>
  <c r="D48" i="1"/>
  <c r="C48" i="1"/>
  <c r="S39" i="1"/>
  <c r="R39" i="1"/>
  <c r="Q39" i="1"/>
  <c r="P39" i="1"/>
  <c r="F34" i="1"/>
  <c r="G33" i="1"/>
  <c r="F33" i="1"/>
  <c r="E33" i="1"/>
  <c r="D33" i="1"/>
  <c r="U27" i="1"/>
  <c r="T27" i="1"/>
  <c r="T53" i="1" s="1"/>
  <c r="S27" i="1"/>
  <c r="S53" i="1" s="1"/>
  <c r="R27" i="1"/>
  <c r="Q27" i="1"/>
  <c r="P27" i="1"/>
  <c r="P53" i="1" s="1"/>
  <c r="G8" i="1"/>
  <c r="F8" i="1"/>
  <c r="E8" i="1"/>
  <c r="D8" i="1"/>
  <c r="C8" i="1"/>
  <c r="S6" i="1"/>
  <c r="S7" i="1" s="1"/>
  <c r="R6" i="1"/>
  <c r="R7" i="1" s="1"/>
  <c r="Q6" i="1"/>
  <c r="Q7" i="1" s="1"/>
  <c r="P6" i="1"/>
  <c r="G5" i="1"/>
  <c r="F5" i="1"/>
  <c r="I7" i="1" s="1"/>
  <c r="E5" i="1"/>
  <c r="D5" i="1"/>
  <c r="Q65" i="1" s="1"/>
  <c r="C5" i="1"/>
  <c r="P65" i="1" s="1"/>
  <c r="H6" i="1" l="1"/>
  <c r="J7" i="1"/>
  <c r="R65" i="1"/>
  <c r="H7" i="1"/>
  <c r="P7" i="1"/>
  <c r="P68" i="1"/>
  <c r="U65" i="1"/>
  <c r="U66" i="1"/>
  <c r="S65" i="1"/>
  <c r="Q54" i="1"/>
  <c r="S54" i="1"/>
  <c r="T65" i="1"/>
  <c r="G15" i="1"/>
  <c r="P54" i="1"/>
  <c r="U9" i="1"/>
  <c r="R54" i="1"/>
  <c r="U54" i="1"/>
  <c r="U69" i="1"/>
  <c r="U68" i="1"/>
  <c r="Q52" i="1"/>
  <c r="P52" i="1"/>
  <c r="R52" i="1"/>
  <c r="S52" i="1"/>
  <c r="U52" i="1"/>
  <c r="P69" i="1"/>
  <c r="S68" i="1"/>
  <c r="S69" i="1"/>
  <c r="T68" i="1"/>
  <c r="T69" i="1"/>
  <c r="R66" i="1"/>
  <c r="R69" i="1"/>
  <c r="R68" i="1"/>
  <c r="Q68" i="1"/>
  <c r="Q69" i="1"/>
  <c r="T9" i="1"/>
  <c r="P61" i="1"/>
  <c r="P63" i="1" s="1"/>
  <c r="Q61" i="1"/>
  <c r="Q63" i="1" s="1"/>
  <c r="T61" i="1"/>
  <c r="T63" i="1" s="1"/>
  <c r="U61" i="1"/>
  <c r="R61" i="1"/>
  <c r="R63" i="1" s="1"/>
  <c r="S61" i="1"/>
  <c r="S63" i="1" s="1"/>
  <c r="E44" i="1"/>
  <c r="F38" i="1" s="1"/>
  <c r="F44" i="1" s="1"/>
  <c r="P73" i="1"/>
  <c r="E6" i="1"/>
  <c r="D6" i="1"/>
  <c r="D15" i="1"/>
  <c r="Q73" i="1"/>
  <c r="G6" i="1"/>
  <c r="F15" i="1"/>
  <c r="I17" i="1" s="1"/>
  <c r="F6" i="1"/>
  <c r="U53" i="1"/>
  <c r="F7" i="1"/>
  <c r="C15" i="1"/>
  <c r="P64" i="1" s="1"/>
  <c r="T39" i="1"/>
  <c r="E15" i="1"/>
  <c r="H17" i="1" s="1"/>
  <c r="G7" i="1"/>
  <c r="Q53" i="1"/>
  <c r="R53" i="1"/>
  <c r="H16" i="1" l="1"/>
  <c r="J17" i="1"/>
  <c r="U64" i="1"/>
  <c r="T64" i="1"/>
  <c r="S64" i="1"/>
  <c r="U67" i="1"/>
  <c r="T52" i="1"/>
  <c r="T67" i="1" s="1"/>
  <c r="T54" i="1"/>
  <c r="R67" i="1"/>
  <c r="S67" i="1"/>
  <c r="R64" i="1"/>
  <c r="D23" i="1"/>
  <c r="D26" i="1" s="1"/>
  <c r="Q67" i="1"/>
  <c r="P67" i="1"/>
  <c r="Q64" i="1"/>
  <c r="D18" i="1"/>
  <c r="D16" i="1"/>
  <c r="S9" i="1"/>
  <c r="R9" i="1"/>
  <c r="Q9" i="1"/>
  <c r="P9" i="1"/>
  <c r="E16" i="1"/>
  <c r="E18" i="1"/>
  <c r="E23" i="1"/>
  <c r="E31" i="1" s="1"/>
  <c r="C18" i="1"/>
  <c r="C23" i="1"/>
  <c r="C26" i="1" s="1"/>
  <c r="G23" i="1"/>
  <c r="G26" i="1" s="1"/>
  <c r="G17" i="1"/>
  <c r="G18" i="1"/>
  <c r="G16" i="1"/>
  <c r="F17" i="1"/>
  <c r="F18" i="1"/>
  <c r="F23" i="1"/>
  <c r="F26" i="1" s="1"/>
  <c r="I29" i="1" s="1"/>
  <c r="F16" i="1"/>
  <c r="H28" i="1" l="1"/>
  <c r="J29" i="1"/>
  <c r="D25" i="1"/>
  <c r="G31" i="1"/>
  <c r="T66" i="1"/>
  <c r="C31" i="1"/>
  <c r="P66" i="1"/>
  <c r="D31" i="1"/>
  <c r="Q66" i="1"/>
  <c r="F31" i="1"/>
  <c r="S66" i="1"/>
  <c r="D47" i="1"/>
  <c r="E25" i="1"/>
  <c r="E47" i="1"/>
  <c r="G25" i="1"/>
  <c r="C25" i="1"/>
  <c r="C47" i="1"/>
  <c r="F25" i="1"/>
  <c r="F47" i="1"/>
  <c r="D27" i="1"/>
  <c r="D28" i="1" l="1"/>
  <c r="C27" i="1"/>
  <c r="F28" i="1"/>
  <c r="F29" i="1"/>
  <c r="F27" i="1"/>
  <c r="E28" i="1"/>
  <c r="E27" i="1"/>
  <c r="G27" i="1"/>
  <c r="G28" i="1"/>
  <c r="G29" i="1"/>
  <c r="Y66" i="1"/>
  <c r="L31" i="1" l="1"/>
</calcChain>
</file>

<file path=xl/sharedStrings.xml><?xml version="1.0" encoding="utf-8"?>
<sst xmlns="http://schemas.openxmlformats.org/spreadsheetml/2006/main" count="256" uniqueCount="135">
  <si>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</si>
  <si>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</si>
  <si>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</si>
  <si>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</si>
  <si>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</si>
  <si>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</si>
  <si>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</si>
  <si>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</si>
  <si>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Revenue from Operations</t>
  </si>
  <si>
    <t>Share Capital</t>
  </si>
  <si>
    <t>Net sales</t>
  </si>
  <si>
    <t>Other Equity</t>
  </si>
  <si>
    <t>Growth (%)</t>
  </si>
  <si>
    <t>NA</t>
  </si>
  <si>
    <t>Networth/Shareholders Fund/ Book Value</t>
  </si>
  <si>
    <t>CAGR (%)</t>
  </si>
  <si>
    <t>Expenditure</t>
  </si>
  <si>
    <t>Changes in Inventory</t>
  </si>
  <si>
    <t>Capital Employed</t>
  </si>
  <si>
    <t>Employee Benefit expenses</t>
  </si>
  <si>
    <t>EV</t>
  </si>
  <si>
    <t>EBITDA</t>
  </si>
  <si>
    <t>(a) Property, plant and equipment</t>
  </si>
  <si>
    <t>(b) Capital Work-in-Progress</t>
  </si>
  <si>
    <t>EBITDA margin (%)</t>
  </si>
  <si>
    <t>Depreciation</t>
  </si>
  <si>
    <t>Finance Cost</t>
  </si>
  <si>
    <t>Other Income</t>
  </si>
  <si>
    <t>PBT</t>
  </si>
  <si>
    <t>Tax</t>
  </si>
  <si>
    <t>Effective tax rate (%)</t>
  </si>
  <si>
    <t>- Others</t>
  </si>
  <si>
    <t>PAT</t>
  </si>
  <si>
    <t>CURRENT ASSETS, LOANS &amp; ADVANCES</t>
  </si>
  <si>
    <t>PAT margin (%)</t>
  </si>
  <si>
    <t>(a) Inventories</t>
  </si>
  <si>
    <t>(b) Financial Assets</t>
  </si>
  <si>
    <t>-Investments</t>
  </si>
  <si>
    <t>Other Comprehensive Income</t>
  </si>
  <si>
    <t>-Trade Receivables (Debtors)</t>
  </si>
  <si>
    <t>Total Comprehensive Income</t>
  </si>
  <si>
    <t>EPS</t>
  </si>
  <si>
    <t>-Bank balances</t>
  </si>
  <si>
    <t>-Short Term Loans &amp; Advances</t>
  </si>
  <si>
    <t>-Others</t>
  </si>
  <si>
    <t>(c ) Current Tax Assets (net)</t>
  </si>
  <si>
    <t>Cash Flow</t>
  </si>
  <si>
    <t>(d) Other Current Assets</t>
  </si>
  <si>
    <t>CURRENT LIABILITIES &amp; PROVISIONS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</si>
  <si>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</si>
  <si>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</si>
  <si>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</si>
  <si>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</si>
  <si>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Other Current Liabilities</t>
  </si>
  <si>
    <t>Net Inc./(Dec.) in Cash and Cash Equivalent</t>
  </si>
  <si>
    <t>Cash and Cash Equivalents at End of the year</t>
  </si>
  <si>
    <t>NON-CURRENT LIABILITIES</t>
  </si>
  <si>
    <t>Our Calculations</t>
  </si>
  <si>
    <t>Provisions</t>
  </si>
  <si>
    <t xml:space="preserve">Operating Cash Inflow </t>
  </si>
  <si>
    <t xml:space="preserve">Capital Expenditure </t>
  </si>
  <si>
    <t>Total Assets</t>
  </si>
  <si>
    <t>FCF</t>
  </si>
  <si>
    <t>Total Liabilities</t>
  </si>
  <si>
    <t>No. of shares</t>
  </si>
  <si>
    <t>Key ratios</t>
  </si>
  <si>
    <t>Debt</t>
  </si>
  <si>
    <t xml:space="preserve">Y/E, Mar </t>
  </si>
  <si>
    <t>Cash</t>
  </si>
  <si>
    <t>CMP(Rs)</t>
  </si>
  <si>
    <t>EPS (Rs)</t>
  </si>
  <si>
    <t>BVPS (Rs)</t>
  </si>
  <si>
    <t>P/E (x)</t>
  </si>
  <si>
    <t>P/BV (x)</t>
  </si>
  <si>
    <t>EV/EBIDTA (x)</t>
  </si>
  <si>
    <t>Fixed Asset Turnover</t>
  </si>
  <si>
    <t>RoE (%)</t>
  </si>
  <si>
    <t>RoCE (%)</t>
  </si>
  <si>
    <t>Gross D/E(x)</t>
  </si>
  <si>
    <t>Net D/E (x)</t>
  </si>
  <si>
    <t>Debtor Days</t>
  </si>
  <si>
    <t>Creditor Days</t>
  </si>
  <si>
    <t>Inventory Days</t>
  </si>
  <si>
    <t>Working Capital Days</t>
  </si>
  <si>
    <t>Excise Duty Expense</t>
  </si>
  <si>
    <t>Effect of Exchange Rate</t>
  </si>
  <si>
    <t>(c) Investment property</t>
  </si>
  <si>
    <t xml:space="preserve">-Investments </t>
  </si>
  <si>
    <t>- Loans</t>
  </si>
  <si>
    <t>NON CURRENT ASSETS</t>
  </si>
  <si>
    <t>Financial Liabilities</t>
  </si>
  <si>
    <t>- Borrowings</t>
  </si>
  <si>
    <t>- Trade Payables</t>
  </si>
  <si>
    <t>Cost of Materials Consumed</t>
  </si>
  <si>
    <t>3 Year CAGR (%)</t>
  </si>
  <si>
    <t xml:space="preserve">-Cash </t>
  </si>
  <si>
    <t>Bank</t>
  </si>
  <si>
    <t>Market Cap</t>
  </si>
  <si>
    <t>Praj Industries Limited - Consolidated</t>
  </si>
  <si>
    <t>FY22</t>
  </si>
  <si>
    <t>Minority Int</t>
  </si>
  <si>
    <t>- Other Financial Liabilities &amp; Lease Liabilities</t>
  </si>
  <si>
    <t>Other expense (Includes exchange gains)</t>
  </si>
  <si>
    <t>FY23</t>
  </si>
  <si>
    <t>Q1-FY24</t>
  </si>
  <si>
    <t>PARTICULARS (INR Mn)</t>
  </si>
  <si>
    <t>Q2-FY24</t>
  </si>
  <si>
    <t>Q2-FY23</t>
  </si>
  <si>
    <t>Y-o-Y</t>
  </si>
  <si>
    <t>Q-o-Q</t>
  </si>
  <si>
    <t>Operational Revenue</t>
  </si>
  <si>
    <t>Total Expenses</t>
  </si>
  <si>
    <t>EBITDA Margins (%)</t>
  </si>
  <si>
    <t>19*</t>
  </si>
  <si>
    <t>PAT Margins (%)</t>
  </si>
  <si>
    <t>EPS (INR)</t>
  </si>
  <si>
    <t>Diluted EPS (INR)</t>
  </si>
  <si>
    <t>- Other Financial Liabilities and Lease Liability</t>
  </si>
  <si>
    <t>FY24</t>
  </si>
  <si>
    <t>€ Asset classified as held for sale</t>
  </si>
  <si>
    <t>Deferred Tax Liabilities (Net)</t>
  </si>
  <si>
    <t>Provisions &amp; Current Tax Liabilities (Net)</t>
  </si>
  <si>
    <t>Exceptional Item</t>
  </si>
  <si>
    <t>-</t>
  </si>
  <si>
    <t>FY25</t>
  </si>
  <si>
    <t>Purchases of Stock in trade</t>
  </si>
  <si>
    <t>FY26</t>
  </si>
  <si>
    <t>(d) Right of use assets</t>
  </si>
  <si>
    <t>(e) Goodwill</t>
  </si>
  <si>
    <t>(f) Intangible Assets</t>
  </si>
  <si>
    <t>(g) Intangible Assets under development</t>
  </si>
  <si>
    <t>(h) Financial Assets</t>
  </si>
  <si>
    <t>(i) Deferred Tax Assets (Net)</t>
  </si>
  <si>
    <t>(j) Other Non-Current Assets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</si>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</sst>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0.0"/>
    <numFmt numFmtId="168" formatCode="_(* #,##0_);_(* \(#,##0\);_(* &quot;-&quot;??_);_(@_)"/>
    <numFmt numFmtId="169" formatCode="_(* #,##0.0_);_(* \(#,##0.0\);_(* &quot;-&quot;??_);_(@_)"/>
    <numFmt numFmtId="170" formatCode="_ * #,##0.0_ ;_ * \-#,##0.0_ ;_ * &quot;-&quot;??_ ;_ @_ "/>
  </numFmts>
  <fonts count="1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Univers 55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251">
    <xf numFmtId="0" fontId="0" fillId="0" borderId="0" xfId="0"/>
    <xf numFmtId="10" fontId="0" fillId="0" borderId="0" xfId="0" applyNumberFormat="1"/>
    <xf numFmtId="166" fontId="0" fillId="0" borderId="0" xfId="2" applyNumberFormat="1" applyFont="1"/>
    <xf numFmtId="10" fontId="0" fillId="0" borderId="0" xfId="2" applyNumberFormat="1" applyFont="1"/>
    <xf numFmtId="0" fontId="5" fillId="0" borderId="37" xfId="0" applyFont="1" applyBorder="1" applyAlignment="1">
      <alignment vertical="center"/>
    </xf>
    <xf numFmtId="9" fontId="0" fillId="0" borderId="0" xfId="2" applyFont="1" applyAlignment="1">
      <alignment vertical="center"/>
    </xf>
    <xf numFmtId="0" fontId="5" fillId="0" borderId="37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  <xf numFmtId="0" fontId="5" fillId="0" borderId="0" xfId="3" applyFont="1" applyAlignment="1">
      <alignment horizontal="right" vertical="center"/>
    </xf>
    <xf numFmtId="0" fontId="7" fillId="3" borderId="8" xfId="3" applyFont="1" applyFill="1" applyBorder="1" applyAlignment="1">
      <alignment vertical="center"/>
    </xf>
    <xf numFmtId="0" fontId="7" fillId="3" borderId="9" xfId="3" applyFont="1" applyFill="1" applyBorder="1" applyAlignment="1">
      <alignment horizontal="center" vertical="center"/>
    </xf>
    <xf numFmtId="0" fontId="7" fillId="3" borderId="28" xfId="3" applyFont="1" applyFill="1" applyBorder="1" applyAlignment="1">
      <alignment horizontal="center" vertical="center"/>
    </xf>
    <xf numFmtId="0" fontId="7" fillId="3" borderId="10" xfId="3" applyFont="1" applyFill="1" applyBorder="1" applyAlignment="1">
      <alignment horizontal="center" vertical="center"/>
    </xf>
    <xf numFmtId="0" fontId="7" fillId="3" borderId="30" xfId="3" applyFont="1" applyFill="1" applyBorder="1" applyAlignment="1">
      <alignment horizontal="center" vertical="center"/>
    </xf>
    <xf numFmtId="0" fontId="7" fillId="0" borderId="0" xfId="3" applyFont="1" applyAlignment="1">
      <alignment horizontal="right" vertical="center"/>
    </xf>
    <xf numFmtId="0" fontId="7" fillId="0" borderId="5" xfId="3" applyFont="1" applyBorder="1" applyAlignment="1">
      <alignment vertical="center"/>
    </xf>
    <xf numFmtId="165" fontId="7" fillId="4" borderId="6" xfId="1" applyNumberFormat="1" applyFont="1" applyFill="1" applyBorder="1" applyAlignment="1">
      <alignment vertical="center"/>
    </xf>
    <xf numFmtId="165" fontId="7" fillId="0" borderId="6" xfId="1" applyNumberFormat="1" applyFont="1" applyFill="1" applyBorder="1" applyAlignment="1">
      <alignment vertical="center"/>
    </xf>
    <xf numFmtId="165" fontId="7" fillId="0" borderId="31" xfId="1" applyNumberFormat="1" applyFont="1" applyFill="1" applyBorder="1" applyAlignment="1">
      <alignment vertical="center"/>
    </xf>
    <xf numFmtId="165" fontId="7" fillId="0" borderId="33" xfId="1" applyNumberFormat="1" applyFont="1" applyFill="1" applyBorder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0" fontId="5" fillId="0" borderId="19" xfId="3" applyFont="1" applyBorder="1" applyAlignment="1">
      <alignment vertical="center"/>
    </xf>
    <xf numFmtId="168" fontId="5" fillId="0" borderId="20" xfId="1" applyNumberFormat="1" applyFont="1" applyBorder="1" applyAlignment="1">
      <alignment vertical="center"/>
    </xf>
    <xf numFmtId="168" fontId="5" fillId="0" borderId="20" xfId="1" applyNumberFormat="1" applyFont="1" applyFill="1" applyBorder="1" applyAlignment="1">
      <alignment vertical="center"/>
    </xf>
    <xf numFmtId="168" fontId="5" fillId="0" borderId="38" xfId="1" applyNumberFormat="1" applyFont="1" applyFill="1" applyBorder="1" applyAlignment="1">
      <alignment vertical="center"/>
    </xf>
    <xf numFmtId="168" fontId="5" fillId="0" borderId="7" xfId="1" applyNumberFormat="1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7" fillId="5" borderId="11" xfId="3" applyFont="1" applyFill="1" applyBorder="1" applyAlignment="1">
      <alignment vertical="center"/>
    </xf>
    <xf numFmtId="165" fontId="7" fillId="5" borderId="12" xfId="1" applyNumberFormat="1" applyFont="1" applyFill="1" applyBorder="1" applyAlignment="1">
      <alignment vertical="center"/>
    </xf>
    <xf numFmtId="165" fontId="7" fillId="5" borderId="13" xfId="1" applyNumberFormat="1" applyFont="1" applyFill="1" applyBorder="1" applyAlignment="1">
      <alignment vertical="center"/>
    </xf>
    <xf numFmtId="165" fontId="7" fillId="5" borderId="14" xfId="1" applyNumberFormat="1" applyFont="1" applyFill="1" applyBorder="1" applyAlignment="1">
      <alignment vertical="center"/>
    </xf>
    <xf numFmtId="166" fontId="5" fillId="0" borderId="0" xfId="2" applyNumberFormat="1" applyFont="1" applyFill="1" applyBorder="1" applyAlignment="1">
      <alignment horizontal="right" vertical="center"/>
    </xf>
    <xf numFmtId="0" fontId="5" fillId="0" borderId="11" xfId="3" applyFont="1" applyBorder="1" applyAlignment="1">
      <alignment vertical="center"/>
    </xf>
    <xf numFmtId="168" fontId="5" fillId="0" borderId="12" xfId="1" applyNumberFormat="1" applyFont="1" applyBorder="1" applyAlignment="1">
      <alignment vertical="center"/>
    </xf>
    <xf numFmtId="168" fontId="5" fillId="0" borderId="12" xfId="1" applyNumberFormat="1" applyFont="1" applyFill="1" applyBorder="1" applyAlignment="1">
      <alignment vertical="center"/>
    </xf>
    <xf numFmtId="168" fontId="5" fillId="0" borderId="37" xfId="1" applyNumberFormat="1" applyFont="1" applyFill="1" applyBorder="1" applyAlignment="1">
      <alignment vertical="center"/>
    </xf>
    <xf numFmtId="168" fontId="5" fillId="0" borderId="13" xfId="1" applyNumberFormat="1" applyFont="1" applyFill="1" applyBorder="1" applyAlignment="1">
      <alignment vertical="center"/>
    </xf>
    <xf numFmtId="0" fontId="8" fillId="0" borderId="11" xfId="3" applyFont="1" applyBorder="1" applyAlignment="1">
      <alignment vertical="center"/>
    </xf>
    <xf numFmtId="166" fontId="5" fillId="0" borderId="12" xfId="2" applyNumberFormat="1" applyFont="1" applyFill="1" applyBorder="1" applyAlignment="1">
      <alignment horizontal="right" vertical="center"/>
    </xf>
    <xf numFmtId="166" fontId="5" fillId="0" borderId="13" xfId="2" applyNumberFormat="1" applyFont="1" applyFill="1" applyBorder="1" applyAlignment="1">
      <alignment horizontal="right" vertical="center"/>
    </xf>
    <xf numFmtId="166" fontId="5" fillId="0" borderId="14" xfId="2" applyNumberFormat="1" applyFont="1" applyFill="1" applyBorder="1" applyAlignment="1">
      <alignment horizontal="right" vertical="center"/>
    </xf>
    <xf numFmtId="168" fontId="7" fillId="5" borderId="12" xfId="1" applyNumberFormat="1" applyFont="1" applyFill="1" applyBorder="1" applyAlignment="1">
      <alignment vertical="center"/>
    </xf>
    <xf numFmtId="168" fontId="7" fillId="5" borderId="37" xfId="1" applyNumberFormat="1" applyFont="1" applyFill="1" applyBorder="1" applyAlignment="1">
      <alignment vertical="center"/>
    </xf>
    <xf numFmtId="168" fontId="7" fillId="5" borderId="13" xfId="1" applyNumberFormat="1" applyFont="1" applyFill="1" applyBorder="1" applyAlignment="1">
      <alignment vertical="center"/>
    </xf>
    <xf numFmtId="0" fontId="8" fillId="5" borderId="11" xfId="3" applyFont="1" applyFill="1" applyBorder="1" applyAlignment="1">
      <alignment vertical="center"/>
    </xf>
    <xf numFmtId="166" fontId="5" fillId="5" borderId="12" xfId="2" applyNumberFormat="1" applyFont="1" applyFill="1" applyBorder="1" applyAlignment="1">
      <alignment horizontal="right" vertical="center"/>
    </xf>
    <xf numFmtId="166" fontId="5" fillId="5" borderId="13" xfId="2" applyNumberFormat="1" applyFont="1" applyFill="1" applyBorder="1" applyAlignment="1">
      <alignment horizontal="right" vertical="center"/>
    </xf>
    <xf numFmtId="166" fontId="5" fillId="5" borderId="14" xfId="2" applyNumberFormat="1" applyFont="1" applyFill="1" applyBorder="1" applyAlignment="1">
      <alignment horizontal="right" vertical="center"/>
    </xf>
    <xf numFmtId="3" fontId="7" fillId="0" borderId="0" xfId="3" applyNumberFormat="1" applyFont="1" applyAlignment="1">
      <alignment horizontal="right" vertical="center"/>
    </xf>
    <xf numFmtId="0" fontId="7" fillId="0" borderId="11" xfId="3" applyFont="1" applyBorder="1" applyAlignment="1">
      <alignment vertical="center"/>
    </xf>
    <xf numFmtId="3" fontId="7" fillId="0" borderId="12" xfId="3" applyNumberFormat="1" applyFont="1" applyBorder="1" applyAlignment="1">
      <alignment horizontal="right" vertical="center"/>
    </xf>
    <xf numFmtId="3" fontId="7" fillId="0" borderId="13" xfId="3" applyNumberFormat="1" applyFont="1" applyBorder="1" applyAlignment="1">
      <alignment horizontal="right" vertical="center"/>
    </xf>
    <xf numFmtId="3" fontId="7" fillId="0" borderId="14" xfId="3" applyNumberFormat="1" applyFont="1" applyBorder="1" applyAlignment="1">
      <alignment horizontal="right" vertical="center"/>
    </xf>
    <xf numFmtId="0" fontId="5" fillId="0" borderId="0" xfId="2" applyNumberFormat="1" applyFont="1" applyFill="1" applyBorder="1" applyAlignment="1">
      <alignment vertical="center"/>
    </xf>
    <xf numFmtId="3" fontId="5" fillId="0" borderId="12" xfId="3" applyNumberFormat="1" applyFont="1" applyBorder="1" applyAlignment="1">
      <alignment horizontal="right" vertical="center"/>
    </xf>
    <xf numFmtId="3" fontId="5" fillId="4" borderId="12" xfId="3" applyNumberFormat="1" applyFont="1" applyFill="1" applyBorder="1" applyAlignment="1">
      <alignment horizontal="right" vertical="center"/>
    </xf>
    <xf numFmtId="3" fontId="5" fillId="0" borderId="13" xfId="3" applyNumberFormat="1" applyFont="1" applyBorder="1" applyAlignment="1">
      <alignment horizontal="right" vertical="center"/>
    </xf>
    <xf numFmtId="3" fontId="5" fillId="0" borderId="14" xfId="3" applyNumberFormat="1" applyFont="1" applyBorder="1" applyAlignment="1">
      <alignment horizontal="right" vertical="center"/>
    </xf>
    <xf numFmtId="168" fontId="7" fillId="0" borderId="12" xfId="1" applyNumberFormat="1" applyFont="1" applyBorder="1" applyAlignment="1">
      <alignment vertical="center"/>
    </xf>
    <xf numFmtId="168" fontId="7" fillId="0" borderId="12" xfId="1" applyNumberFormat="1" applyFont="1" applyFill="1" applyBorder="1" applyAlignment="1">
      <alignment vertical="center"/>
    </xf>
    <xf numFmtId="168" fontId="7" fillId="0" borderId="13" xfId="1" applyNumberFormat="1" applyFont="1" applyFill="1" applyBorder="1" applyAlignment="1">
      <alignment vertical="center"/>
    </xf>
    <xf numFmtId="168" fontId="7" fillId="0" borderId="37" xfId="1" applyNumberFormat="1" applyFont="1" applyFill="1" applyBorder="1" applyAlignment="1">
      <alignment vertical="center"/>
    </xf>
    <xf numFmtId="0" fontId="5" fillId="0" borderId="11" xfId="4" applyFont="1" applyBorder="1" applyAlignment="1">
      <alignment vertical="center"/>
    </xf>
    <xf numFmtId="165" fontId="5" fillId="0" borderId="12" xfId="1" applyNumberFormat="1" applyFont="1" applyBorder="1" applyAlignment="1">
      <alignment vertical="center"/>
    </xf>
    <xf numFmtId="165" fontId="5" fillId="4" borderId="12" xfId="1" applyNumberFormat="1" applyFont="1" applyFill="1" applyBorder="1" applyAlignment="1">
      <alignment vertical="center"/>
    </xf>
    <xf numFmtId="165" fontId="5" fillId="0" borderId="12" xfId="1" applyNumberFormat="1" applyFont="1" applyFill="1" applyBorder="1" applyAlignment="1">
      <alignment vertical="center"/>
    </xf>
    <xf numFmtId="165" fontId="5" fillId="0" borderId="13" xfId="1" applyNumberFormat="1" applyFont="1" applyFill="1" applyBorder="1" applyAlignment="1">
      <alignment vertical="center"/>
    </xf>
    <xf numFmtId="165" fontId="5" fillId="0" borderId="14" xfId="1" applyNumberFormat="1" applyFont="1" applyFill="1" applyBorder="1" applyAlignment="1">
      <alignment vertical="center"/>
    </xf>
    <xf numFmtId="1" fontId="7" fillId="5" borderId="12" xfId="3" applyNumberFormat="1" applyFont="1" applyFill="1" applyBorder="1" applyAlignment="1">
      <alignment vertical="center"/>
    </xf>
    <xf numFmtId="168" fontId="7" fillId="5" borderId="14" xfId="1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horizontal="right" vertical="center"/>
    </xf>
    <xf numFmtId="166" fontId="7" fillId="0" borderId="0" xfId="2" applyNumberFormat="1" applyFont="1" applyFill="1" applyBorder="1" applyAlignment="1">
      <alignment vertical="center"/>
    </xf>
    <xf numFmtId="0" fontId="9" fillId="5" borderId="11" xfId="3" applyFont="1" applyFill="1" applyBorder="1" applyAlignment="1">
      <alignment vertical="center"/>
    </xf>
    <xf numFmtId="166" fontId="7" fillId="5" borderId="12" xfId="2" applyNumberFormat="1" applyFont="1" applyFill="1" applyBorder="1" applyAlignment="1">
      <alignment vertical="center"/>
    </xf>
    <xf numFmtId="166" fontId="7" fillId="5" borderId="13" xfId="2" applyNumberFormat="1" applyFont="1" applyFill="1" applyBorder="1" applyAlignment="1">
      <alignment vertical="center"/>
    </xf>
    <xf numFmtId="166" fontId="7" fillId="5" borderId="14" xfId="2" applyNumberFormat="1" applyFont="1" applyFill="1" applyBorder="1" applyAlignment="1">
      <alignment vertical="center"/>
    </xf>
    <xf numFmtId="1" fontId="5" fillId="0" borderId="12" xfId="2" applyNumberFormat="1" applyFont="1" applyBorder="1" applyAlignment="1">
      <alignment vertical="center"/>
    </xf>
    <xf numFmtId="1" fontId="5" fillId="4" borderId="12" xfId="2" applyNumberFormat="1" applyFont="1" applyFill="1" applyBorder="1" applyAlignment="1">
      <alignment vertical="center"/>
    </xf>
    <xf numFmtId="1" fontId="5" fillId="0" borderId="12" xfId="2" applyNumberFormat="1" applyFont="1" applyFill="1" applyBorder="1" applyAlignment="1">
      <alignment vertical="center"/>
    </xf>
    <xf numFmtId="1" fontId="5" fillId="0" borderId="13" xfId="2" applyNumberFormat="1" applyFont="1" applyFill="1" applyBorder="1" applyAlignment="1">
      <alignment vertical="center"/>
    </xf>
    <xf numFmtId="1" fontId="5" fillId="0" borderId="14" xfId="2" applyNumberFormat="1" applyFont="1" applyFill="1" applyBorder="1" applyAlignment="1">
      <alignment vertical="center"/>
    </xf>
    <xf numFmtId="1" fontId="5" fillId="0" borderId="0" xfId="3" applyNumberFormat="1" applyFont="1" applyAlignment="1">
      <alignment vertical="center"/>
    </xf>
    <xf numFmtId="165" fontId="5" fillId="4" borderId="13" xfId="1" applyNumberFormat="1" applyFont="1" applyFill="1" applyBorder="1" applyAlignment="1">
      <alignment horizontal="right" vertical="center"/>
    </xf>
    <xf numFmtId="165" fontId="5" fillId="4" borderId="12" xfId="1" applyNumberFormat="1" applyFont="1" applyFill="1" applyBorder="1" applyAlignment="1">
      <alignment horizontal="right" vertical="center"/>
    </xf>
    <xf numFmtId="165" fontId="5" fillId="0" borderId="12" xfId="1" applyNumberFormat="1" applyFont="1" applyFill="1" applyBorder="1" applyAlignment="1">
      <alignment horizontal="right" vertical="center"/>
    </xf>
    <xf numFmtId="165" fontId="5" fillId="0" borderId="13" xfId="1" applyNumberFormat="1" applyFont="1" applyFill="1" applyBorder="1" applyAlignment="1">
      <alignment horizontal="right" vertical="center"/>
    </xf>
    <xf numFmtId="165" fontId="5" fillId="0" borderId="14" xfId="1" applyNumberFormat="1" applyFont="1" applyFill="1" applyBorder="1" applyAlignment="1">
      <alignment horizontal="right" vertical="center"/>
    </xf>
    <xf numFmtId="0" fontId="5" fillId="0" borderId="11" xfId="3" quotePrefix="1" applyFont="1" applyBorder="1" applyAlignment="1">
      <alignment vertical="center"/>
    </xf>
    <xf numFmtId="1" fontId="5" fillId="0" borderId="11" xfId="3" quotePrefix="1" applyNumberFormat="1" applyFont="1" applyBorder="1" applyAlignment="1">
      <alignment vertical="center"/>
    </xf>
    <xf numFmtId="170" fontId="7" fillId="5" borderId="13" xfId="1" applyNumberFormat="1" applyFont="1" applyFill="1" applyBorder="1" applyAlignment="1">
      <alignment vertical="center"/>
    </xf>
    <xf numFmtId="170" fontId="7" fillId="5" borderId="14" xfId="1" applyNumberFormat="1" applyFont="1" applyFill="1" applyBorder="1" applyAlignment="1">
      <alignment vertical="center"/>
    </xf>
    <xf numFmtId="1" fontId="5" fillId="0" borderId="12" xfId="3" applyNumberFormat="1" applyFont="1" applyBorder="1" applyAlignment="1">
      <alignment vertical="center"/>
    </xf>
    <xf numFmtId="1" fontId="5" fillId="0" borderId="31" xfId="3" applyNumberFormat="1" applyFont="1" applyBorder="1" applyAlignment="1">
      <alignment vertical="center"/>
    </xf>
    <xf numFmtId="1" fontId="5" fillId="0" borderId="14" xfId="3" applyNumberFormat="1" applyFont="1" applyBorder="1" applyAlignment="1">
      <alignment vertical="center"/>
    </xf>
    <xf numFmtId="166" fontId="5" fillId="0" borderId="12" xfId="2" applyNumberFormat="1" applyFont="1" applyBorder="1" applyAlignment="1">
      <alignment vertical="center"/>
    </xf>
    <xf numFmtId="166" fontId="5" fillId="0" borderId="12" xfId="2" applyNumberFormat="1" applyFont="1" applyFill="1" applyBorder="1" applyAlignment="1">
      <alignment vertical="center"/>
    </xf>
    <xf numFmtId="166" fontId="5" fillId="0" borderId="13" xfId="2" applyNumberFormat="1" applyFont="1" applyFill="1" applyBorder="1" applyAlignment="1">
      <alignment vertical="center"/>
    </xf>
    <xf numFmtId="166" fontId="5" fillId="0" borderId="14" xfId="2" applyNumberFormat="1" applyFont="1" applyFill="1" applyBorder="1" applyAlignment="1">
      <alignment vertical="center"/>
    </xf>
    <xf numFmtId="166" fontId="5" fillId="0" borderId="0" xfId="2" applyNumberFormat="1" applyFont="1" applyFill="1" applyBorder="1" applyAlignment="1">
      <alignment vertical="center"/>
    </xf>
    <xf numFmtId="1" fontId="7" fillId="0" borderId="0" xfId="3" applyNumberFormat="1" applyFont="1" applyAlignment="1">
      <alignment vertical="center"/>
    </xf>
    <xf numFmtId="168" fontId="7" fillId="0" borderId="12" xfId="1" applyNumberFormat="1" applyFont="1" applyBorder="1" applyAlignment="1">
      <alignment horizontal="right" vertical="center"/>
    </xf>
    <xf numFmtId="168" fontId="7" fillId="0" borderId="12" xfId="1" applyNumberFormat="1" applyFont="1" applyFill="1" applyBorder="1" applyAlignment="1">
      <alignment horizontal="right" vertical="center"/>
    </xf>
    <xf numFmtId="168" fontId="7" fillId="0" borderId="37" xfId="1" applyNumberFormat="1" applyFont="1" applyFill="1" applyBorder="1" applyAlignment="1">
      <alignment horizontal="right" vertical="center"/>
    </xf>
    <xf numFmtId="168" fontId="7" fillId="0" borderId="13" xfId="1" applyNumberFormat="1" applyFont="1" applyFill="1" applyBorder="1" applyAlignment="1">
      <alignment horizontal="right" vertical="center"/>
    </xf>
    <xf numFmtId="2" fontId="5" fillId="0" borderId="0" xfId="2" applyNumberFormat="1" applyFont="1" applyFill="1" applyBorder="1" applyAlignment="1">
      <alignment horizontal="right" vertical="center"/>
    </xf>
    <xf numFmtId="168" fontId="5" fillId="0" borderId="12" xfId="1" applyNumberFormat="1" applyFont="1" applyBorder="1" applyAlignment="1">
      <alignment horizontal="center" vertical="center"/>
    </xf>
    <xf numFmtId="168" fontId="5" fillId="4" borderId="12" xfId="1" applyNumberFormat="1" applyFont="1" applyFill="1" applyBorder="1" applyAlignment="1">
      <alignment horizontal="center" vertical="center"/>
    </xf>
    <xf numFmtId="2" fontId="7" fillId="0" borderId="0" xfId="3" applyNumberFormat="1" applyFont="1" applyAlignment="1">
      <alignment vertical="center"/>
    </xf>
    <xf numFmtId="168" fontId="7" fillId="0" borderId="12" xfId="1" applyNumberFormat="1" applyFont="1" applyBorder="1" applyAlignment="1">
      <alignment horizontal="center" vertical="center"/>
    </xf>
    <xf numFmtId="168" fontId="7" fillId="4" borderId="12" xfId="1" applyNumberFormat="1" applyFont="1" applyFill="1" applyBorder="1" applyAlignment="1">
      <alignment horizontal="center" vertical="center"/>
    </xf>
    <xf numFmtId="0" fontId="5" fillId="5" borderId="11" xfId="4" applyFont="1" applyFill="1" applyBorder="1" applyAlignment="1">
      <alignment vertical="center"/>
    </xf>
    <xf numFmtId="1" fontId="5" fillId="5" borderId="12" xfId="2" applyNumberFormat="1" applyFont="1" applyFill="1" applyBorder="1" applyAlignment="1">
      <alignment horizontal="right" vertical="center"/>
    </xf>
    <xf numFmtId="167" fontId="5" fillId="5" borderId="12" xfId="2" applyNumberFormat="1" applyFont="1" applyFill="1" applyBorder="1" applyAlignment="1">
      <alignment horizontal="right" vertical="center"/>
    </xf>
    <xf numFmtId="1" fontId="5" fillId="5" borderId="31" xfId="2" applyNumberFormat="1" applyFont="1" applyFill="1" applyBorder="1" applyAlignment="1">
      <alignment horizontal="right" vertical="center"/>
    </xf>
    <xf numFmtId="1" fontId="5" fillId="5" borderId="14" xfId="2" applyNumberFormat="1" applyFont="1" applyFill="1" applyBorder="1" applyAlignment="1">
      <alignment horizontal="right" vertical="center"/>
    </xf>
    <xf numFmtId="168" fontId="5" fillId="4" borderId="12" xfId="1" applyNumberFormat="1" applyFont="1" applyFill="1" applyBorder="1" applyAlignment="1">
      <alignment vertical="center"/>
    </xf>
    <xf numFmtId="0" fontId="7" fillId="5" borderId="11" xfId="4" applyFont="1" applyFill="1" applyBorder="1" applyAlignment="1">
      <alignment vertical="center"/>
    </xf>
    <xf numFmtId="168" fontId="7" fillId="5" borderId="12" xfId="1" applyNumberFormat="1" applyFont="1" applyFill="1" applyBorder="1" applyAlignment="1">
      <alignment horizontal="right" vertical="center"/>
    </xf>
    <xf numFmtId="168" fontId="7" fillId="5" borderId="13" xfId="1" applyNumberFormat="1" applyFont="1" applyFill="1" applyBorder="1" applyAlignment="1">
      <alignment horizontal="right" vertical="center"/>
    </xf>
    <xf numFmtId="168" fontId="7" fillId="5" borderId="14" xfId="1" applyNumberFormat="1" applyFont="1" applyFill="1" applyBorder="1" applyAlignment="1">
      <alignment horizontal="right" vertical="center"/>
    </xf>
    <xf numFmtId="2" fontId="7" fillId="5" borderId="12" xfId="3" applyNumberFormat="1" applyFont="1" applyFill="1" applyBorder="1" applyAlignment="1">
      <alignment vertical="center"/>
    </xf>
    <xf numFmtId="2" fontId="7" fillId="5" borderId="13" xfId="3" applyNumberFormat="1" applyFont="1" applyFill="1" applyBorder="1" applyAlignment="1">
      <alignment vertical="center"/>
    </xf>
    <xf numFmtId="2" fontId="7" fillId="5" borderId="14" xfId="3" applyNumberFormat="1" applyFont="1" applyFill="1" applyBorder="1" applyAlignment="1">
      <alignment vertical="center"/>
    </xf>
    <xf numFmtId="0" fontId="5" fillId="0" borderId="0" xfId="4" applyFont="1" applyAlignment="1">
      <alignment vertical="center"/>
    </xf>
    <xf numFmtId="0" fontId="8" fillId="5" borderId="15" xfId="3" applyFont="1" applyFill="1" applyBorder="1" applyAlignment="1">
      <alignment vertical="center"/>
    </xf>
    <xf numFmtId="166" fontId="5" fillId="5" borderId="16" xfId="2" applyNumberFormat="1" applyFont="1" applyFill="1" applyBorder="1" applyAlignment="1">
      <alignment horizontal="right" vertical="center"/>
    </xf>
    <xf numFmtId="166" fontId="5" fillId="5" borderId="17" xfId="2" applyNumberFormat="1" applyFont="1" applyFill="1" applyBorder="1" applyAlignment="1">
      <alignment horizontal="right" vertical="center"/>
    </xf>
    <xf numFmtId="166" fontId="5" fillId="5" borderId="27" xfId="2" applyNumberFormat="1" applyFont="1" applyFill="1" applyBorder="1" applyAlignment="1">
      <alignment horizontal="right" vertical="center"/>
    </xf>
    <xf numFmtId="168" fontId="5" fillId="0" borderId="37" xfId="1" applyNumberFormat="1" applyFont="1" applyFill="1" applyBorder="1" applyAlignment="1">
      <alignment horizontal="right" vertical="center"/>
    </xf>
    <xf numFmtId="168" fontId="5" fillId="0" borderId="13" xfId="1" applyNumberFormat="1" applyFont="1" applyFill="1" applyBorder="1" applyAlignment="1">
      <alignment horizontal="right" vertical="center"/>
    </xf>
    <xf numFmtId="0" fontId="7" fillId="3" borderId="2" xfId="3" applyFont="1" applyFill="1" applyBorder="1" applyAlignment="1">
      <alignment vertical="center"/>
    </xf>
    <xf numFmtId="167" fontId="7" fillId="0" borderId="5" xfId="3" applyNumberFormat="1" applyFont="1" applyBorder="1" applyAlignment="1">
      <alignment vertical="center"/>
    </xf>
    <xf numFmtId="165" fontId="7" fillId="0" borderId="7" xfId="1" applyNumberFormat="1" applyFont="1" applyFill="1" applyBorder="1" applyAlignment="1">
      <alignment vertical="center"/>
    </xf>
    <xf numFmtId="165" fontId="7" fillId="0" borderId="20" xfId="1" applyNumberFormat="1" applyFont="1" applyFill="1" applyBorder="1" applyAlignment="1">
      <alignment vertical="center"/>
    </xf>
    <xf numFmtId="167" fontId="5" fillId="0" borderId="11" xfId="3" applyNumberFormat="1" applyFont="1" applyBorder="1" applyAlignment="1">
      <alignment vertical="center"/>
    </xf>
    <xf numFmtId="0" fontId="7" fillId="0" borderId="11" xfId="4" applyFont="1" applyBorder="1" applyAlignment="1">
      <alignment vertical="center"/>
    </xf>
    <xf numFmtId="0" fontId="5" fillId="0" borderId="0" xfId="5" applyFont="1" applyAlignment="1">
      <alignment vertical="center"/>
    </xf>
    <xf numFmtId="0" fontId="5" fillId="0" borderId="11" xfId="4" quotePrefix="1" applyFont="1" applyBorder="1" applyAlignment="1">
      <alignment vertical="center"/>
    </xf>
    <xf numFmtId="167" fontId="7" fillId="0" borderId="15" xfId="3" applyNumberFormat="1" applyFont="1" applyBorder="1" applyAlignment="1">
      <alignment vertical="center"/>
    </xf>
    <xf numFmtId="165" fontId="7" fillId="0" borderId="16" xfId="1" applyNumberFormat="1" applyFont="1" applyFill="1" applyBorder="1" applyAlignment="1">
      <alignment vertical="center"/>
    </xf>
    <xf numFmtId="165" fontId="7" fillId="0" borderId="26" xfId="1" applyNumberFormat="1" applyFont="1" applyFill="1" applyBorder="1" applyAlignment="1">
      <alignment vertical="center"/>
    </xf>
    <xf numFmtId="165" fontId="7" fillId="0" borderId="17" xfId="1" applyNumberFormat="1" applyFont="1" applyFill="1" applyBorder="1" applyAlignment="1">
      <alignment vertical="center"/>
    </xf>
    <xf numFmtId="0" fontId="5" fillId="0" borderId="1" xfId="4" applyFont="1" applyBorder="1" applyAlignment="1">
      <alignment vertical="center"/>
    </xf>
    <xf numFmtId="0" fontId="7" fillId="3" borderId="30" xfId="4" applyFont="1" applyFill="1" applyBorder="1" applyAlignment="1">
      <alignment vertical="center"/>
    </xf>
    <xf numFmtId="0" fontId="7" fillId="3" borderId="18" xfId="3" applyFont="1" applyFill="1" applyBorder="1" applyAlignment="1">
      <alignment horizontal="center" vertical="center"/>
    </xf>
    <xf numFmtId="0" fontId="7" fillId="3" borderId="29" xfId="3" applyFont="1" applyFill="1" applyBorder="1" applyAlignment="1">
      <alignment horizontal="center" vertical="center"/>
    </xf>
    <xf numFmtId="0" fontId="7" fillId="0" borderId="34" xfId="4" applyFont="1" applyBorder="1" applyAlignment="1">
      <alignment vertical="center"/>
    </xf>
    <xf numFmtId="165" fontId="5" fillId="0" borderId="20" xfId="1" applyNumberFormat="1" applyFont="1" applyBorder="1" applyAlignment="1">
      <alignment vertical="center"/>
    </xf>
    <xf numFmtId="165" fontId="5" fillId="0" borderId="6" xfId="1" applyNumberFormat="1" applyFont="1" applyFill="1" applyBorder="1" applyAlignment="1">
      <alignment vertical="center"/>
    </xf>
    <xf numFmtId="165" fontId="5" fillId="0" borderId="24" xfId="1" applyNumberFormat="1" applyFont="1" applyFill="1" applyBorder="1" applyAlignment="1">
      <alignment vertical="center"/>
    </xf>
    <xf numFmtId="0" fontId="5" fillId="0" borderId="35" xfId="4" applyFont="1" applyBorder="1" applyAlignment="1">
      <alignment vertical="center"/>
    </xf>
    <xf numFmtId="0" fontId="7" fillId="5" borderId="36" xfId="4" applyFont="1" applyFill="1" applyBorder="1" applyAlignment="1">
      <alignment vertical="center"/>
    </xf>
    <xf numFmtId="165" fontId="5" fillId="0" borderId="16" xfId="1" applyNumberFormat="1" applyFont="1" applyBorder="1" applyAlignment="1">
      <alignment vertical="center"/>
    </xf>
    <xf numFmtId="165" fontId="5" fillId="0" borderId="16" xfId="1" applyNumberFormat="1" applyFont="1" applyFill="1" applyBorder="1" applyAlignment="1">
      <alignment vertical="center"/>
    </xf>
    <xf numFmtId="165" fontId="5" fillId="5" borderId="17" xfId="1" applyNumberFormat="1" applyFont="1" applyFill="1" applyBorder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0" fontId="5" fillId="0" borderId="21" xfId="4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5" fillId="0" borderId="19" xfId="4" applyFont="1" applyBorder="1" applyAlignment="1">
      <alignment vertical="center"/>
    </xf>
    <xf numFmtId="169" fontId="5" fillId="0" borderId="20" xfId="1" applyNumberFormat="1" applyFont="1" applyFill="1" applyBorder="1" applyAlignment="1">
      <alignment vertical="center"/>
    </xf>
    <xf numFmtId="169" fontId="5" fillId="0" borderId="24" xfId="1" applyNumberFormat="1" applyFont="1" applyFill="1" applyBorder="1" applyAlignment="1">
      <alignment vertical="center"/>
    </xf>
    <xf numFmtId="169" fontId="5" fillId="0" borderId="6" xfId="1" applyNumberFormat="1" applyFont="1" applyFill="1" applyBorder="1" applyAlignment="1">
      <alignment vertical="center"/>
    </xf>
    <xf numFmtId="169" fontId="5" fillId="0" borderId="33" xfId="1" applyNumberFormat="1" applyFont="1" applyFill="1" applyBorder="1" applyAlignment="1">
      <alignment vertical="center"/>
    </xf>
    <xf numFmtId="168" fontId="5" fillId="0" borderId="13" xfId="1" applyNumberFormat="1" applyFont="1" applyBorder="1" applyAlignment="1">
      <alignment vertical="center"/>
    </xf>
    <xf numFmtId="168" fontId="5" fillId="0" borderId="14" xfId="1" applyNumberFormat="1" applyFont="1" applyBorder="1" applyAlignment="1">
      <alignment vertical="center"/>
    </xf>
    <xf numFmtId="0" fontId="7" fillId="0" borderId="15" xfId="3" applyFont="1" applyBorder="1" applyAlignment="1">
      <alignment vertical="center"/>
    </xf>
    <xf numFmtId="168" fontId="7" fillId="0" borderId="16" xfId="1" applyNumberFormat="1" applyFont="1" applyBorder="1" applyAlignment="1">
      <alignment vertical="center"/>
    </xf>
    <xf numFmtId="168" fontId="7" fillId="0" borderId="16" xfId="1" applyNumberFormat="1" applyFont="1" applyFill="1" applyBorder="1" applyAlignment="1">
      <alignment vertical="center"/>
    </xf>
    <xf numFmtId="168" fontId="7" fillId="0" borderId="26" xfId="1" applyNumberFormat="1" applyFont="1" applyFill="1" applyBorder="1" applyAlignment="1">
      <alignment vertical="center"/>
    </xf>
    <xf numFmtId="168" fontId="7" fillId="0" borderId="17" xfId="1" applyNumberFormat="1" applyFont="1" applyFill="1" applyBorder="1" applyAlignment="1">
      <alignment vertical="center"/>
    </xf>
    <xf numFmtId="0" fontId="7" fillId="0" borderId="1" xfId="3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167" fontId="5" fillId="0" borderId="0" xfId="3" applyNumberFormat="1" applyFont="1" applyAlignment="1">
      <alignment horizontal="center" vertical="center"/>
    </xf>
    <xf numFmtId="1" fontId="5" fillId="0" borderId="0" xfId="4" applyNumberFormat="1" applyFont="1" applyAlignment="1">
      <alignment vertical="center"/>
    </xf>
    <xf numFmtId="0" fontId="5" fillId="0" borderId="22" xfId="4" applyFont="1" applyBorder="1" applyAlignment="1">
      <alignment vertical="center"/>
    </xf>
    <xf numFmtId="168" fontId="5" fillId="0" borderId="23" xfId="1" applyNumberFormat="1" applyFont="1" applyBorder="1" applyAlignment="1">
      <alignment vertical="center"/>
    </xf>
    <xf numFmtId="168" fontId="5" fillId="0" borderId="25" xfId="1" applyNumberFormat="1" applyFont="1" applyBorder="1" applyAlignment="1">
      <alignment vertical="center"/>
    </xf>
    <xf numFmtId="1" fontId="7" fillId="0" borderId="15" xfId="4" applyNumberFormat="1" applyFont="1" applyBorder="1" applyAlignment="1">
      <alignment vertical="center"/>
    </xf>
    <xf numFmtId="168" fontId="7" fillId="0" borderId="17" xfId="1" applyNumberFormat="1" applyFont="1" applyBorder="1" applyAlignment="1">
      <alignment vertical="center"/>
    </xf>
    <xf numFmtId="168" fontId="7" fillId="0" borderId="27" xfId="1" applyNumberFormat="1" applyFont="1" applyBorder="1" applyAlignment="1">
      <alignment vertical="center"/>
    </xf>
    <xf numFmtId="43" fontId="5" fillId="0" borderId="0" xfId="4" applyNumberFormat="1" applyFont="1" applyAlignment="1">
      <alignment vertical="center"/>
    </xf>
    <xf numFmtId="167" fontId="5" fillId="0" borderId="6" xfId="3" applyNumberFormat="1" applyFont="1" applyBorder="1" applyAlignment="1">
      <alignment horizontal="center" vertical="center"/>
    </xf>
    <xf numFmtId="2" fontId="5" fillId="0" borderId="12" xfId="3" applyNumberFormat="1" applyFont="1" applyBorder="1" applyAlignment="1">
      <alignment horizontal="center" vertical="center"/>
    </xf>
    <xf numFmtId="167" fontId="5" fillId="0" borderId="13" xfId="3" applyNumberFormat="1" applyFont="1" applyBorder="1" applyAlignment="1">
      <alignment horizontal="center" vertical="center"/>
    </xf>
    <xf numFmtId="167" fontId="5" fillId="0" borderId="12" xfId="3" applyNumberFormat="1" applyFont="1" applyBorder="1" applyAlignment="1">
      <alignment horizontal="center" vertical="center"/>
    </xf>
    <xf numFmtId="0" fontId="5" fillId="5" borderId="11" xfId="3" applyFont="1" applyFill="1" applyBorder="1" applyAlignment="1">
      <alignment vertical="center"/>
    </xf>
    <xf numFmtId="1" fontId="5" fillId="5" borderId="12" xfId="3" applyNumberFormat="1" applyFont="1" applyFill="1" applyBorder="1" applyAlignment="1">
      <alignment horizontal="center" vertical="center"/>
    </xf>
    <xf numFmtId="167" fontId="5" fillId="5" borderId="12" xfId="3" applyNumberFormat="1" applyFont="1" applyFill="1" applyBorder="1" applyAlignment="1">
      <alignment horizontal="center" vertical="center"/>
    </xf>
    <xf numFmtId="167" fontId="7" fillId="5" borderId="13" xfId="3" applyNumberFormat="1" applyFont="1" applyFill="1" applyBorder="1" applyAlignment="1">
      <alignment horizontal="center" vertical="center"/>
    </xf>
    <xf numFmtId="167" fontId="7" fillId="0" borderId="13" xfId="3" applyNumberFormat="1" applyFont="1" applyBorder="1" applyAlignment="1">
      <alignment horizontal="center" vertical="center"/>
    </xf>
    <xf numFmtId="166" fontId="5" fillId="5" borderId="12" xfId="2" applyNumberFormat="1" applyFont="1" applyFill="1" applyBorder="1" applyAlignment="1">
      <alignment horizontal="center" vertical="center"/>
    </xf>
    <xf numFmtId="166" fontId="5" fillId="5" borderId="13" xfId="2" applyNumberFormat="1" applyFont="1" applyFill="1" applyBorder="1" applyAlignment="1">
      <alignment horizontal="center" vertical="center"/>
    </xf>
    <xf numFmtId="165" fontId="5" fillId="0" borderId="0" xfId="4" applyNumberFormat="1" applyFont="1" applyAlignment="1">
      <alignment vertical="center"/>
    </xf>
    <xf numFmtId="1" fontId="5" fillId="0" borderId="12" xfId="3" applyNumberFormat="1" applyFont="1" applyBorder="1" applyAlignment="1">
      <alignment horizontal="center" vertical="center"/>
    </xf>
    <xf numFmtId="1" fontId="5" fillId="0" borderId="13" xfId="3" applyNumberFormat="1" applyFont="1" applyBorder="1" applyAlignment="1">
      <alignment horizontal="center" vertical="center"/>
    </xf>
    <xf numFmtId="0" fontId="5" fillId="5" borderId="15" xfId="3" applyFont="1" applyFill="1" applyBorder="1" applyAlignment="1">
      <alignment vertical="center"/>
    </xf>
    <xf numFmtId="1" fontId="5" fillId="5" borderId="16" xfId="3" applyNumberFormat="1" applyFont="1" applyFill="1" applyBorder="1" applyAlignment="1">
      <alignment horizontal="center" vertical="center"/>
    </xf>
    <xf numFmtId="1" fontId="5" fillId="5" borderId="17" xfId="3" applyNumberFormat="1" applyFont="1" applyFill="1" applyBorder="1" applyAlignment="1">
      <alignment horizontal="center" vertical="center"/>
    </xf>
    <xf numFmtId="1" fontId="7" fillId="5" borderId="17" xfId="3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8" fontId="5" fillId="0" borderId="0" xfId="1" applyNumberFormat="1" applyFont="1" applyBorder="1" applyAlignment="1">
      <alignment vertical="center"/>
    </xf>
    <xf numFmtId="0" fontId="5" fillId="0" borderId="5" xfId="3" applyFont="1" applyBorder="1" applyAlignment="1">
      <alignment vertical="center"/>
    </xf>
    <xf numFmtId="2" fontId="5" fillId="0" borderId="6" xfId="4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7" fontId="5" fillId="0" borderId="7" xfId="3" applyNumberFormat="1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167" fontId="7" fillId="5" borderId="14" xfId="3" applyNumberFormat="1" applyFont="1" applyFill="1" applyBorder="1" applyAlignment="1">
      <alignment horizontal="center" vertical="center"/>
    </xf>
    <xf numFmtId="167" fontId="7" fillId="0" borderId="14" xfId="3" applyNumberFormat="1" applyFont="1" applyBorder="1" applyAlignment="1">
      <alignment horizontal="center" vertical="center"/>
    </xf>
    <xf numFmtId="167" fontId="5" fillId="0" borderId="14" xfId="3" applyNumberFormat="1" applyFont="1" applyBorder="1" applyAlignment="1">
      <alignment horizontal="center" vertical="center"/>
    </xf>
    <xf numFmtId="166" fontId="5" fillId="5" borderId="14" xfId="2" applyNumberFormat="1" applyFont="1" applyFill="1" applyBorder="1" applyAlignment="1">
      <alignment horizontal="center" vertical="center"/>
    </xf>
    <xf numFmtId="1" fontId="5" fillId="0" borderId="14" xfId="3" applyNumberFormat="1" applyFont="1" applyBorder="1" applyAlignment="1">
      <alignment horizontal="center" vertical="center"/>
    </xf>
    <xf numFmtId="1" fontId="7" fillId="5" borderId="27" xfId="3" applyNumberFormat="1" applyFont="1" applyFill="1" applyBorder="1" applyAlignment="1">
      <alignment horizontal="center" vertical="center"/>
    </xf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21" xfId="3" applyFont="1" applyFill="1" applyBorder="1" applyAlignment="1">
      <alignment horizontal="center" vertical="center"/>
    </xf>
    <xf numFmtId="0" fontId="7" fillId="3" borderId="40" xfId="3" applyFont="1" applyFill="1" applyBorder="1" applyAlignment="1">
      <alignment horizontal="center" vertical="center"/>
    </xf>
    <xf numFmtId="0" fontId="7" fillId="3" borderId="39" xfId="3" applyFont="1" applyFill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2" fontId="0" fillId="0" borderId="14" xfId="0" applyNumberFormat="1" applyBorder="1" applyAlignment="1">
      <alignment vertical="center"/>
    </xf>
    <xf numFmtId="2" fontId="0" fillId="0" borderId="0" xfId="0" applyNumberFormat="1" applyAlignment="1">
      <alignment vertical="center"/>
    </xf>
    <xf numFmtId="0" fontId="7" fillId="3" borderId="3" xfId="3" applyFont="1" applyFill="1" applyBorder="1" applyAlignment="1">
      <alignment vertical="center"/>
    </xf>
    <xf numFmtId="165" fontId="7" fillId="0" borderId="1" xfId="1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0" fontId="7" fillId="0" borderId="1" xfId="3" applyFont="1" applyFill="1" applyBorder="1" applyAlignment="1">
      <alignment vertical="center"/>
    </xf>
    <xf numFmtId="0" fontId="7" fillId="0" borderId="1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5" fontId="5" fillId="0" borderId="10" xfId="1" applyNumberFormat="1" applyFont="1" applyFill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166" fontId="5" fillId="0" borderId="32" xfId="2" applyNumberFormat="1" applyFont="1" applyFill="1" applyBorder="1" applyAlignment="1">
      <alignment horizontal="right" vertical="center"/>
    </xf>
    <xf numFmtId="0" fontId="7" fillId="3" borderId="21" xfId="3" applyFont="1" applyFill="1" applyBorder="1" applyAlignment="1">
      <alignment vertical="center"/>
    </xf>
    <xf numFmtId="0" fontId="7" fillId="3" borderId="40" xfId="3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7" fillId="4" borderId="1" xfId="3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2" xfId="4" xr:uid="{00000000-0005-0000-0000-000002000000}"/>
    <cellStyle name="Normal_TEMP_CO" xfId="5" xr:uid="{00000000-0005-0000-0000-000003000000}"/>
    <cellStyle name="Percent" xfId="2" builtinId="5"/>
    <cellStyle name="Style 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48570"/>
  <sheetViews>
    <sheetView tabSelected="1" zoomScale="70" zoomScaleNormal="70" workbookViewId="0">
      <selection activeCell="M33" sqref="M33"/>
    </sheetView>
  </sheetViews>
  <sheetFormatPr defaultColWidth="11.09765625" defaultRowHeight="15.6"/>
  <cols>
    <col min="1" max="1" width="11.09765625" style="11"/>
    <col min="2" max="2" width="35.59765625" style="11" bestFit="1" customWidth="1"/>
    <col min="3" max="8" width="0" style="11" hidden="1" customWidth="1"/>
    <col min="9" max="13" width="11.09765625" style="11"/>
    <col min="14" max="14" width="13.59765625" style="11" customWidth="1"/>
    <col min="15" max="15" width="33.5" style="11" bestFit="1" customWidth="1"/>
    <col min="16" max="20" width="0" style="11" hidden="1" customWidth="1"/>
    <col min="21" max="23" width="11.09765625" style="11"/>
    <col min="24" max="24" width="12.09765625" style="11" bestFit="1" customWidth="1"/>
    <col min="25" max="16384" width="11.09765625" style="11"/>
  </cols>
  <sheetData>
    <row r="1" spans="2:31" ht="16.2" thickBot="1">
      <c r="B1" s="224" t="s">
        <v>98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50"/>
      <c r="Z1" s="247"/>
    </row>
    <row r="2" spans="2:31" ht="16.2" thickBot="1">
      <c r="B2" s="219" t="s">
        <v>0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1"/>
      <c r="N2" s="14"/>
      <c r="O2" s="243" t="s">
        <v>1</v>
      </c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8"/>
    </row>
    <row r="3" spans="2:31" ht="16.2" thickBot="1">
      <c r="B3" s="15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99</v>
      </c>
      <c r="I3" s="16" t="s">
        <v>103</v>
      </c>
      <c r="J3" s="16" t="s">
        <v>118</v>
      </c>
      <c r="K3" s="17" t="s">
        <v>124</v>
      </c>
      <c r="L3" s="18" t="s">
        <v>126</v>
      </c>
      <c r="M3" s="19" t="s">
        <v>134</v>
      </c>
      <c r="N3" s="20"/>
      <c r="O3" s="15" t="s">
        <v>2</v>
      </c>
      <c r="P3" s="16" t="s">
        <v>3</v>
      </c>
      <c r="Q3" s="16" t="s">
        <v>4</v>
      </c>
      <c r="R3" s="16" t="s">
        <v>5</v>
      </c>
      <c r="S3" s="16" t="s">
        <v>6</v>
      </c>
      <c r="T3" s="16" t="s">
        <v>7</v>
      </c>
      <c r="U3" s="17" t="s">
        <v>99</v>
      </c>
      <c r="V3" s="16" t="s">
        <v>103</v>
      </c>
      <c r="W3" s="13" t="s">
        <v>118</v>
      </c>
      <c r="X3" s="19" t="s">
        <v>124</v>
      </c>
      <c r="Y3" s="12" t="s">
        <v>126</v>
      </c>
      <c r="Z3" s="245"/>
    </row>
    <row r="4" spans="2:31">
      <c r="B4" s="21" t="s">
        <v>8</v>
      </c>
      <c r="C4" s="22">
        <v>9551</v>
      </c>
      <c r="D4" s="22">
        <v>9235</v>
      </c>
      <c r="E4" s="22">
        <v>11411</v>
      </c>
      <c r="F4" s="22">
        <v>11024</v>
      </c>
      <c r="G4" s="23">
        <v>13047</v>
      </c>
      <c r="H4" s="22">
        <v>23434</v>
      </c>
      <c r="I4" s="23">
        <v>35280.370000000003</v>
      </c>
      <c r="J4" s="23">
        <v>34662.784</v>
      </c>
      <c r="K4" s="24">
        <v>32280.421999999999</v>
      </c>
      <c r="L4" s="24">
        <v>31678.828000000001</v>
      </c>
      <c r="M4" s="25">
        <v>7158.2110000000002</v>
      </c>
      <c r="N4" s="26"/>
      <c r="O4" s="27" t="s">
        <v>9</v>
      </c>
      <c r="P4" s="28">
        <v>359</v>
      </c>
      <c r="Q4" s="28">
        <v>362</v>
      </c>
      <c r="R4" s="28">
        <v>365</v>
      </c>
      <c r="S4" s="28">
        <v>366</v>
      </c>
      <c r="T4" s="28">
        <v>366</v>
      </c>
      <c r="U4" s="28">
        <v>367.34699999999998</v>
      </c>
      <c r="V4" s="29">
        <v>367</v>
      </c>
      <c r="W4" s="29">
        <v>367.62599999999998</v>
      </c>
      <c r="X4" s="30">
        <v>367.62599999999998</v>
      </c>
      <c r="Y4" s="31">
        <v>367.62599999999998</v>
      </c>
      <c r="Z4" s="239"/>
    </row>
    <row r="5" spans="2:31">
      <c r="B5" s="33" t="s">
        <v>10</v>
      </c>
      <c r="C5" s="34">
        <f t="shared" ref="C5:G5" si="0">SUM(C4:C4)</f>
        <v>9551</v>
      </c>
      <c r="D5" s="34">
        <f t="shared" si="0"/>
        <v>9235</v>
      </c>
      <c r="E5" s="34">
        <f t="shared" si="0"/>
        <v>11411</v>
      </c>
      <c r="F5" s="34">
        <f t="shared" si="0"/>
        <v>11024</v>
      </c>
      <c r="G5" s="34">
        <f t="shared" si="0"/>
        <v>13047</v>
      </c>
      <c r="H5" s="34">
        <f t="shared" ref="H5:M5" si="1">H4</f>
        <v>23434</v>
      </c>
      <c r="I5" s="34">
        <f t="shared" si="1"/>
        <v>35280.370000000003</v>
      </c>
      <c r="J5" s="34">
        <f t="shared" si="1"/>
        <v>34662.784</v>
      </c>
      <c r="K5" s="35">
        <f t="shared" si="1"/>
        <v>32280.421999999999</v>
      </c>
      <c r="L5" s="35">
        <f t="shared" si="1"/>
        <v>31678.828000000001</v>
      </c>
      <c r="M5" s="36">
        <f t="shared" si="1"/>
        <v>7158.2110000000002</v>
      </c>
      <c r="N5" s="37"/>
      <c r="O5" s="38" t="s">
        <v>11</v>
      </c>
      <c r="P5" s="39">
        <v>6737</v>
      </c>
      <c r="Q5" s="39">
        <v>6899</v>
      </c>
      <c r="R5" s="39">
        <v>7085</v>
      </c>
      <c r="S5" s="39">
        <v>6826</v>
      </c>
      <c r="T5" s="39">
        <v>7652</v>
      </c>
      <c r="U5" s="39">
        <v>8789.8379999999997</v>
      </c>
      <c r="V5" s="40">
        <v>10412.549999999999</v>
      </c>
      <c r="W5" s="40">
        <v>12377.073</v>
      </c>
      <c r="X5" s="41">
        <v>13450.045</v>
      </c>
      <c r="Y5" s="42">
        <v>12723.63</v>
      </c>
      <c r="Z5" s="239"/>
    </row>
    <row r="6" spans="2:31">
      <c r="B6" s="43" t="s">
        <v>12</v>
      </c>
      <c r="C6" s="44" t="s">
        <v>13</v>
      </c>
      <c r="D6" s="44">
        <f t="shared" ref="D6:F6" si="2">+D5/C5-1</f>
        <v>-3.3085540781070066E-2</v>
      </c>
      <c r="E6" s="44">
        <f t="shared" si="2"/>
        <v>0.23562533838657274</v>
      </c>
      <c r="F6" s="44">
        <f t="shared" si="2"/>
        <v>-3.3914643764788366E-2</v>
      </c>
      <c r="G6" s="44">
        <f t="shared" ref="G6:K6" si="3">+G5/F5-1</f>
        <v>0.18350870827285926</v>
      </c>
      <c r="H6" s="44">
        <f t="shared" si="3"/>
        <v>0.79612171380393959</v>
      </c>
      <c r="I6" s="44">
        <f t="shared" si="3"/>
        <v>0.50552061107792112</v>
      </c>
      <c r="J6" s="44">
        <f t="shared" si="3"/>
        <v>-1.750508852373156E-2</v>
      </c>
      <c r="K6" s="45">
        <f t="shared" si="3"/>
        <v>-6.8729678493222091E-2</v>
      </c>
      <c r="L6" s="45">
        <f>+L5/K5-1</f>
        <v>-1.8636497379123429E-2</v>
      </c>
      <c r="M6" s="46"/>
      <c r="N6" s="37"/>
      <c r="O6" s="33" t="s">
        <v>14</v>
      </c>
      <c r="P6" s="47">
        <f t="shared" ref="P6:Q6" si="4">SUM(P4:P5)</f>
        <v>7096</v>
      </c>
      <c r="Q6" s="47">
        <f t="shared" si="4"/>
        <v>7261</v>
      </c>
      <c r="R6" s="47">
        <f t="shared" ref="R6:T6" si="5">SUM(R4:R5)</f>
        <v>7450</v>
      </c>
      <c r="S6" s="47">
        <f t="shared" si="5"/>
        <v>7192</v>
      </c>
      <c r="T6" s="47">
        <f t="shared" si="5"/>
        <v>8018</v>
      </c>
      <c r="U6" s="47">
        <f>SUM(U4:U5)</f>
        <v>9157.1849999999995</v>
      </c>
      <c r="V6" s="47">
        <f>SUM(V4:V5)</f>
        <v>10779.55</v>
      </c>
      <c r="W6" s="47">
        <f>SUM(W4:W5)</f>
        <v>12744.699000000001</v>
      </c>
      <c r="X6" s="48">
        <f>SUM(X4:X5)</f>
        <v>13817.671</v>
      </c>
      <c r="Y6" s="49">
        <f>SUM(Y4:Y5)</f>
        <v>13091.255999999999</v>
      </c>
      <c r="Z6" s="239"/>
    </row>
    <row r="7" spans="2:31" ht="15" customHeight="1">
      <c r="B7" s="50" t="s">
        <v>94</v>
      </c>
      <c r="C7" s="51" t="s">
        <v>13</v>
      </c>
      <c r="D7" s="51" t="s">
        <v>13</v>
      </c>
      <c r="E7" s="51" t="s">
        <v>13</v>
      </c>
      <c r="F7" s="51">
        <f t="shared" ref="F7" si="6">+((F5/C5)^(1/3)-1)</f>
        <v>4.8970930856131467E-2</v>
      </c>
      <c r="G7" s="51">
        <f t="shared" ref="G7:K7" si="7">+((G5/D5)^(1/3)-1)</f>
        <v>0.12208197905651308</v>
      </c>
      <c r="H7" s="51">
        <f t="shared" si="7"/>
        <v>0.27108396510598554</v>
      </c>
      <c r="I7" s="51">
        <f t="shared" si="7"/>
        <v>0.47366230747508342</v>
      </c>
      <c r="J7" s="51">
        <f t="shared" si="7"/>
        <v>0.38500367625621235</v>
      </c>
      <c r="K7" s="52">
        <f t="shared" si="7"/>
        <v>0.11266457020659293</v>
      </c>
      <c r="L7" s="52">
        <f>+((L5/I5)^(1/3)-1)</f>
        <v>-3.5256210270742216E-2</v>
      </c>
      <c r="M7" s="53"/>
      <c r="N7" s="54"/>
      <c r="O7" s="33" t="s">
        <v>18</v>
      </c>
      <c r="P7" s="47">
        <f t="shared" ref="P7:U7" si="8">P6+P41+P48</f>
        <v>7140</v>
      </c>
      <c r="Q7" s="47">
        <f t="shared" si="8"/>
        <v>7320</v>
      </c>
      <c r="R7" s="47">
        <f t="shared" si="8"/>
        <v>7450</v>
      </c>
      <c r="S7" s="47">
        <f t="shared" si="8"/>
        <v>7192</v>
      </c>
      <c r="T7" s="47">
        <f t="shared" si="8"/>
        <v>8018</v>
      </c>
      <c r="U7" s="47">
        <f t="shared" si="8"/>
        <v>9157.1849999999995</v>
      </c>
      <c r="V7" s="47">
        <f>V6+V46+V8</f>
        <v>11181.224999999999</v>
      </c>
      <c r="W7" s="47">
        <f>W6+W46+W8</f>
        <v>14363.223</v>
      </c>
      <c r="X7" s="48">
        <f>X6+X46+X8</f>
        <v>15554.228000000001</v>
      </c>
      <c r="Y7" s="49">
        <f>Y6+Y46+Y8</f>
        <v>14369.153</v>
      </c>
      <c r="Z7" s="239"/>
    </row>
    <row r="8" spans="2:31">
      <c r="B8" s="55" t="s">
        <v>16</v>
      </c>
      <c r="C8" s="56">
        <f t="shared" ref="C8:G8" si="9">SUM(C9:C14)</f>
        <v>8864</v>
      </c>
      <c r="D8" s="56">
        <f t="shared" si="9"/>
        <v>8720</v>
      </c>
      <c r="E8" s="56">
        <f t="shared" si="9"/>
        <v>10618</v>
      </c>
      <c r="F8" s="56">
        <f t="shared" si="9"/>
        <v>10244</v>
      </c>
      <c r="G8" s="56">
        <f t="shared" si="9"/>
        <v>11923</v>
      </c>
      <c r="H8" s="56">
        <f t="shared" ref="H8:M8" si="10">SUM(H9:H14)</f>
        <v>21274.600000000002</v>
      </c>
      <c r="I8" s="56">
        <f t="shared" si="10"/>
        <v>32100.26</v>
      </c>
      <c r="J8" s="56">
        <f t="shared" si="10"/>
        <v>30784.719999999998</v>
      </c>
      <c r="K8" s="57">
        <f t="shared" si="10"/>
        <v>29032.105</v>
      </c>
      <c r="L8" s="57">
        <f t="shared" si="10"/>
        <v>30161.093000000001</v>
      </c>
      <c r="M8" s="58">
        <f t="shared" si="10"/>
        <v>6857.7189999999991</v>
      </c>
      <c r="N8" s="59"/>
      <c r="O8" s="38" t="s">
        <v>100</v>
      </c>
      <c r="P8" s="40">
        <v>2.8</v>
      </c>
      <c r="Q8" s="40">
        <v>6.6</v>
      </c>
      <c r="R8" s="40">
        <v>6.64</v>
      </c>
      <c r="S8" s="40">
        <v>6.6970000000000001</v>
      </c>
      <c r="T8" s="40">
        <v>6.8150000000000004</v>
      </c>
      <c r="U8" s="40">
        <v>6.8410000000000002</v>
      </c>
      <c r="V8" s="39">
        <v>1</v>
      </c>
      <c r="W8" s="39">
        <v>0.999</v>
      </c>
      <c r="X8" s="41">
        <v>1.226</v>
      </c>
      <c r="Y8" s="42">
        <v>1.2769999999999999</v>
      </c>
      <c r="Z8" s="239"/>
    </row>
    <row r="9" spans="2:31">
      <c r="B9" s="38" t="s">
        <v>93</v>
      </c>
      <c r="C9" s="60">
        <v>4770</v>
      </c>
      <c r="D9" s="60">
        <v>4712</v>
      </c>
      <c r="E9" s="60">
        <v>6013</v>
      </c>
      <c r="F9" s="60">
        <v>5670</v>
      </c>
      <c r="G9" s="61">
        <v>7310</v>
      </c>
      <c r="H9" s="61">
        <v>14811.3</v>
      </c>
      <c r="I9" s="60">
        <v>22291.93</v>
      </c>
      <c r="J9" s="60">
        <v>19121.692999999999</v>
      </c>
      <c r="K9" s="62">
        <v>16398.564999999999</v>
      </c>
      <c r="L9" s="62">
        <v>14761.768</v>
      </c>
      <c r="M9" s="63">
        <v>3608.2220000000002</v>
      </c>
      <c r="N9" s="59"/>
      <c r="O9" s="55" t="s">
        <v>20</v>
      </c>
      <c r="P9" s="64">
        <f t="shared" ref="P9:Y9" si="11">C57</f>
        <v>13704</v>
      </c>
      <c r="Q9" s="64">
        <f t="shared" si="11"/>
        <v>13831.36</v>
      </c>
      <c r="R9" s="64">
        <f t="shared" si="11"/>
        <v>27703.519999999997</v>
      </c>
      <c r="S9" s="64">
        <f t="shared" si="11"/>
        <v>9621.6549999999988</v>
      </c>
      <c r="T9" s="64">
        <f t="shared" si="11"/>
        <v>34648.879999999997</v>
      </c>
      <c r="U9" s="64">
        <f t="shared" si="11"/>
        <v>72072.437000000005</v>
      </c>
      <c r="V9" s="65">
        <f t="shared" si="11"/>
        <v>61188.787353600004</v>
      </c>
      <c r="W9" s="65">
        <f t="shared" si="11"/>
        <v>95790.173977600018</v>
      </c>
      <c r="X9" s="66">
        <f t="shared" si="11"/>
        <v>100131.0336048</v>
      </c>
      <c r="Y9" s="66">
        <f t="shared" si="11"/>
        <v>56433.523292800004</v>
      </c>
      <c r="Z9" s="239"/>
    </row>
    <row r="10" spans="2:31">
      <c r="B10" s="38" t="s">
        <v>125</v>
      </c>
      <c r="C10" s="60"/>
      <c r="D10" s="60"/>
      <c r="E10" s="60"/>
      <c r="F10" s="60"/>
      <c r="G10" s="61"/>
      <c r="H10" s="61"/>
      <c r="I10" s="60"/>
      <c r="J10" s="60"/>
      <c r="K10" s="62"/>
      <c r="L10" s="62">
        <v>1392.6469999999999</v>
      </c>
      <c r="M10" s="63">
        <v>372.39400000000001</v>
      </c>
      <c r="N10" s="59"/>
      <c r="O10" s="55"/>
      <c r="P10" s="64"/>
      <c r="Q10" s="64"/>
      <c r="R10" s="64"/>
      <c r="S10" s="64"/>
      <c r="T10" s="64"/>
      <c r="U10" s="64"/>
      <c r="V10" s="65"/>
      <c r="W10" s="65"/>
      <c r="X10" s="67"/>
      <c r="Y10" s="66"/>
      <c r="Z10" s="239"/>
    </row>
    <row r="11" spans="2:31">
      <c r="B11" s="38" t="s">
        <v>17</v>
      </c>
      <c r="C11" s="60">
        <v>-99</v>
      </c>
      <c r="D11" s="60">
        <v>-19</v>
      </c>
      <c r="E11" s="60">
        <v>82</v>
      </c>
      <c r="F11" s="60">
        <v>-146</v>
      </c>
      <c r="G11" s="61">
        <v>51</v>
      </c>
      <c r="H11" s="61">
        <v>-273.8</v>
      </c>
      <c r="I11" s="60">
        <v>-277.58</v>
      </c>
      <c r="J11" s="60">
        <v>499.46300000000002</v>
      </c>
      <c r="K11" s="62">
        <v>147.399</v>
      </c>
      <c r="L11" s="62">
        <v>45.966999999999999</v>
      </c>
      <c r="M11" s="63">
        <v>-70.417000000000002</v>
      </c>
      <c r="N11" s="59"/>
      <c r="O11" s="68"/>
      <c r="P11" s="39"/>
      <c r="Q11" s="39"/>
      <c r="R11" s="39"/>
      <c r="S11" s="39"/>
      <c r="T11" s="39"/>
      <c r="U11" s="39"/>
      <c r="V11" s="40"/>
      <c r="W11" s="40"/>
      <c r="X11" s="4"/>
      <c r="Y11" s="9"/>
      <c r="Z11" s="239"/>
    </row>
    <row r="12" spans="2:31">
      <c r="B12" s="38" t="s">
        <v>19</v>
      </c>
      <c r="C12" s="69">
        <v>1480</v>
      </c>
      <c r="D12" s="69">
        <v>1495</v>
      </c>
      <c r="E12" s="69">
        <v>1606</v>
      </c>
      <c r="F12" s="69">
        <v>1640</v>
      </c>
      <c r="G12" s="70">
        <v>1722</v>
      </c>
      <c r="H12" s="70">
        <v>2176.1999999999998</v>
      </c>
      <c r="I12" s="71">
        <v>2575.91</v>
      </c>
      <c r="J12" s="71">
        <v>3187.3539999999998</v>
      </c>
      <c r="K12" s="72">
        <v>3489.0149999999999</v>
      </c>
      <c r="L12" s="72">
        <v>3457.596</v>
      </c>
      <c r="M12" s="73">
        <v>824.40599999999995</v>
      </c>
      <c r="N12" s="59"/>
      <c r="O12" s="55" t="s">
        <v>89</v>
      </c>
      <c r="P12" s="65">
        <f t="shared" ref="P12:X12" si="12">SUM(P13:P26)</f>
        <v>3521</v>
      </c>
      <c r="Q12" s="65">
        <f t="shared" si="12"/>
        <v>3413</v>
      </c>
      <c r="R12" s="65">
        <f t="shared" si="12"/>
        <v>3862</v>
      </c>
      <c r="S12" s="65">
        <f t="shared" si="12"/>
        <v>3818</v>
      </c>
      <c r="T12" s="65">
        <f t="shared" si="12"/>
        <v>3585</v>
      </c>
      <c r="U12" s="65">
        <f t="shared" si="12"/>
        <v>3722.2309999999998</v>
      </c>
      <c r="V12" s="65">
        <f t="shared" si="12"/>
        <v>4367.12</v>
      </c>
      <c r="W12" s="65">
        <f t="shared" si="12"/>
        <v>6714.8830000000007</v>
      </c>
      <c r="X12" s="67">
        <f t="shared" si="12"/>
        <v>7302.5489999999991</v>
      </c>
      <c r="Y12" s="66">
        <f>SUM(Y13:Y26)</f>
        <v>6882.6420000000007</v>
      </c>
      <c r="Z12" s="239"/>
    </row>
    <row r="13" spans="2:31">
      <c r="B13" s="38" t="s">
        <v>84</v>
      </c>
      <c r="C13" s="69">
        <v>402</v>
      </c>
      <c r="D13" s="69">
        <v>69</v>
      </c>
      <c r="E13" s="69">
        <v>0</v>
      </c>
      <c r="F13" s="69">
        <v>0</v>
      </c>
      <c r="G13" s="70">
        <v>0</v>
      </c>
      <c r="H13" s="70">
        <v>0</v>
      </c>
      <c r="I13" s="71">
        <v>0</v>
      </c>
      <c r="J13" s="71">
        <v>0</v>
      </c>
      <c r="K13" s="72">
        <v>0</v>
      </c>
      <c r="L13" s="72">
        <v>0</v>
      </c>
      <c r="M13" s="73">
        <v>0</v>
      </c>
      <c r="N13" s="59"/>
      <c r="O13" s="38" t="s">
        <v>22</v>
      </c>
      <c r="P13" s="39">
        <v>1915</v>
      </c>
      <c r="Q13" s="40">
        <v>2198</v>
      </c>
      <c r="R13" s="40">
        <v>2128</v>
      </c>
      <c r="S13" s="40">
        <v>2167</v>
      </c>
      <c r="T13" s="40">
        <v>2064</v>
      </c>
      <c r="U13" s="39">
        <v>2085.3290000000002</v>
      </c>
      <c r="V13" s="40">
        <v>2365.9899999999998</v>
      </c>
      <c r="W13" s="40">
        <v>4071.8580000000002</v>
      </c>
      <c r="X13" s="41">
        <v>2665.0610000000001</v>
      </c>
      <c r="Y13" s="31">
        <v>2943.134</v>
      </c>
      <c r="Z13" s="239"/>
    </row>
    <row r="14" spans="2:31">
      <c r="B14" s="38" t="s">
        <v>102</v>
      </c>
      <c r="C14" s="69">
        <v>2311</v>
      </c>
      <c r="D14" s="69">
        <v>2463</v>
      </c>
      <c r="E14" s="69">
        <v>2917</v>
      </c>
      <c r="F14" s="69">
        <v>3080</v>
      </c>
      <c r="G14" s="70">
        <v>2840</v>
      </c>
      <c r="H14" s="70">
        <f>4681.6-120.7</f>
        <v>4560.9000000000005</v>
      </c>
      <c r="I14" s="71">
        <v>7510</v>
      </c>
      <c r="J14" s="71">
        <f>8135.816-159.606</f>
        <v>7976.21</v>
      </c>
      <c r="K14" s="72">
        <f>9096.631-99.505</f>
        <v>8997.1260000000002</v>
      </c>
      <c r="L14" s="72">
        <v>10503.115</v>
      </c>
      <c r="M14" s="73">
        <v>2123.114</v>
      </c>
      <c r="N14" s="59"/>
      <c r="O14" s="38" t="s">
        <v>23</v>
      </c>
      <c r="P14" s="39">
        <v>315</v>
      </c>
      <c r="Q14" s="39">
        <v>42</v>
      </c>
      <c r="R14" s="39">
        <v>22</v>
      </c>
      <c r="S14" s="39">
        <v>21</v>
      </c>
      <c r="T14" s="39">
        <v>4</v>
      </c>
      <c r="U14" s="39">
        <v>14.260999999999999</v>
      </c>
      <c r="V14" s="40">
        <v>68.72</v>
      </c>
      <c r="W14" s="40">
        <v>31.991</v>
      </c>
      <c r="X14" s="41">
        <v>173.28299999999999</v>
      </c>
      <c r="Y14" s="42">
        <v>55.606000000000002</v>
      </c>
      <c r="Z14" s="239"/>
      <c r="AE14" s="5"/>
    </row>
    <row r="15" spans="2:31">
      <c r="B15" s="33" t="s">
        <v>21</v>
      </c>
      <c r="C15" s="74">
        <f t="shared" ref="C15:F15" si="13">+C5-C8</f>
        <v>687</v>
      </c>
      <c r="D15" s="74">
        <f t="shared" si="13"/>
        <v>515</v>
      </c>
      <c r="E15" s="74">
        <f t="shared" si="13"/>
        <v>793</v>
      </c>
      <c r="F15" s="74">
        <f t="shared" si="13"/>
        <v>780</v>
      </c>
      <c r="G15" s="47">
        <f>+G5-G8</f>
        <v>1124</v>
      </c>
      <c r="H15" s="47">
        <f t="shared" ref="H15:M15" si="14">H5-H8</f>
        <v>2159.3999999999978</v>
      </c>
      <c r="I15" s="47">
        <f t="shared" si="14"/>
        <v>3180.1100000000042</v>
      </c>
      <c r="J15" s="47">
        <f t="shared" si="14"/>
        <v>3878.0640000000021</v>
      </c>
      <c r="K15" s="49">
        <f t="shared" si="14"/>
        <v>3248.3169999999991</v>
      </c>
      <c r="L15" s="49">
        <f t="shared" si="14"/>
        <v>1517.7350000000006</v>
      </c>
      <c r="M15" s="75">
        <f t="shared" si="14"/>
        <v>300.4920000000011</v>
      </c>
      <c r="N15" s="76"/>
      <c r="O15" s="38" t="s">
        <v>86</v>
      </c>
      <c r="P15" s="39">
        <v>137</v>
      </c>
      <c r="Q15" s="39">
        <v>137</v>
      </c>
      <c r="R15" s="39">
        <v>137</v>
      </c>
      <c r="S15" s="39">
        <v>137</v>
      </c>
      <c r="T15" s="39">
        <v>137</v>
      </c>
      <c r="U15" s="39">
        <v>136.928</v>
      </c>
      <c r="V15" s="40">
        <v>136.91999999999999</v>
      </c>
      <c r="W15" s="40">
        <v>0</v>
      </c>
      <c r="X15" s="6" t="s">
        <v>123</v>
      </c>
      <c r="Y15" s="10" t="s">
        <v>123</v>
      </c>
      <c r="Z15" s="239"/>
    </row>
    <row r="16" spans="2:31">
      <c r="B16" s="43" t="s">
        <v>12</v>
      </c>
      <c r="C16" s="44" t="s">
        <v>13</v>
      </c>
      <c r="D16" s="44">
        <f t="shared" ref="D16:K16" si="15">+D15/C15-1</f>
        <v>-0.25036390101892281</v>
      </c>
      <c r="E16" s="44">
        <f t="shared" si="15"/>
        <v>0.53980582524271847</v>
      </c>
      <c r="F16" s="44">
        <f t="shared" si="15"/>
        <v>-1.6393442622950838E-2</v>
      </c>
      <c r="G16" s="44">
        <f t="shared" si="15"/>
        <v>0.44102564102564101</v>
      </c>
      <c r="H16" s="44">
        <f t="shared" si="15"/>
        <v>0.92117437722419737</v>
      </c>
      <c r="I16" s="44">
        <f t="shared" si="15"/>
        <v>0.47268222654441394</v>
      </c>
      <c r="J16" s="44">
        <f t="shared" si="15"/>
        <v>0.21947479804157632</v>
      </c>
      <c r="K16" s="45">
        <f t="shared" si="15"/>
        <v>-0.1623869539027728</v>
      </c>
      <c r="L16" s="45">
        <f>+L15/K15-1</f>
        <v>-0.53276265832429504</v>
      </c>
      <c r="M16" s="46"/>
      <c r="N16" s="77"/>
      <c r="O16" s="38" t="s">
        <v>127</v>
      </c>
      <c r="P16" s="39"/>
      <c r="Q16" s="39"/>
      <c r="R16" s="39"/>
      <c r="S16" s="39"/>
      <c r="T16" s="39"/>
      <c r="U16" s="39"/>
      <c r="V16" s="40"/>
      <c r="W16" s="40"/>
      <c r="X16" s="41">
        <v>1799.85</v>
      </c>
      <c r="Y16" s="31">
        <v>1540.2260000000001</v>
      </c>
      <c r="Z16" s="239"/>
    </row>
    <row r="17" spans="2:26">
      <c r="B17" s="50" t="s">
        <v>94</v>
      </c>
      <c r="C17" s="51" t="s">
        <v>13</v>
      </c>
      <c r="D17" s="51" t="s">
        <v>13</v>
      </c>
      <c r="E17" s="51" t="s">
        <v>13</v>
      </c>
      <c r="F17" s="51">
        <f t="shared" ref="F17:K17" si="16">+((F15/C15)^(1/3)-1)</f>
        <v>4.3228128838227686E-2</v>
      </c>
      <c r="G17" s="51">
        <f t="shared" si="16"/>
        <v>0.29713853295841752</v>
      </c>
      <c r="H17" s="51">
        <f t="shared" si="16"/>
        <v>0.39643257091271367</v>
      </c>
      <c r="I17" s="51">
        <f t="shared" si="16"/>
        <v>0.59753057904053852</v>
      </c>
      <c r="J17" s="51">
        <f t="shared" si="16"/>
        <v>0.51106409732129809</v>
      </c>
      <c r="K17" s="52">
        <f t="shared" si="16"/>
        <v>0.1457989923653038</v>
      </c>
      <c r="L17" s="52">
        <f>+((L15/I15)^(1/3)-1)</f>
        <v>-0.2185198780067128</v>
      </c>
      <c r="M17" s="53"/>
      <c r="N17" s="77"/>
      <c r="O17" s="38" t="s">
        <v>128</v>
      </c>
      <c r="P17" s="39">
        <v>626</v>
      </c>
      <c r="Q17" s="39">
        <v>626</v>
      </c>
      <c r="R17" s="39">
        <v>626</v>
      </c>
      <c r="S17" s="39">
        <v>626</v>
      </c>
      <c r="T17" s="39">
        <v>626</v>
      </c>
      <c r="U17" s="39">
        <v>626.15</v>
      </c>
      <c r="V17" s="40">
        <v>626.20000000000005</v>
      </c>
      <c r="W17" s="40">
        <v>626.15</v>
      </c>
      <c r="X17" s="41">
        <v>626.15</v>
      </c>
      <c r="Y17" s="42">
        <v>626.15</v>
      </c>
      <c r="Z17" s="239"/>
    </row>
    <row r="18" spans="2:26">
      <c r="B18" s="78" t="s">
        <v>24</v>
      </c>
      <c r="C18" s="79">
        <f>+C15/C5</f>
        <v>7.1929640875301015E-2</v>
      </c>
      <c r="D18" s="79">
        <f>+D15/D5</f>
        <v>5.576610720086627E-2</v>
      </c>
      <c r="E18" s="79">
        <f>+E15/E5</f>
        <v>6.9494347559372532E-2</v>
      </c>
      <c r="F18" s="79">
        <f>+F15/F5</f>
        <v>7.0754716981132074E-2</v>
      </c>
      <c r="G18" s="79">
        <f>+G15/G5</f>
        <v>8.6150072813673637E-2</v>
      </c>
      <c r="H18" s="79">
        <f t="shared" ref="H18:M18" si="17">H15/H5</f>
        <v>9.2148160792011519E-2</v>
      </c>
      <c r="I18" s="79">
        <f t="shared" si="17"/>
        <v>9.0138227008390331E-2</v>
      </c>
      <c r="J18" s="79">
        <f t="shared" si="17"/>
        <v>0.11187976130249672</v>
      </c>
      <c r="K18" s="80">
        <f t="shared" si="17"/>
        <v>0.10062808348664089</v>
      </c>
      <c r="L18" s="80">
        <f t="shared" si="17"/>
        <v>4.7910074198452057E-2</v>
      </c>
      <c r="M18" s="81">
        <f>M15/M5</f>
        <v>4.1978645222947621E-2</v>
      </c>
      <c r="N18" s="77"/>
      <c r="O18" s="38" t="s">
        <v>129</v>
      </c>
      <c r="P18" s="39">
        <v>20</v>
      </c>
      <c r="Q18" s="39">
        <v>11</v>
      </c>
      <c r="R18" s="39">
        <v>9</v>
      </c>
      <c r="S18" s="39">
        <v>8</v>
      </c>
      <c r="T18" s="39">
        <v>11</v>
      </c>
      <c r="U18" s="39">
        <f>12.173+6.65</f>
        <v>18.823</v>
      </c>
      <c r="V18" s="40">
        <v>39.17</v>
      </c>
      <c r="W18" s="40">
        <v>46.009</v>
      </c>
      <c r="X18" s="41">
        <v>579.67700000000002</v>
      </c>
      <c r="Y18" s="42">
        <v>489.959</v>
      </c>
      <c r="Z18" s="239"/>
    </row>
    <row r="19" spans="2:26">
      <c r="B19" s="38" t="s">
        <v>25</v>
      </c>
      <c r="C19" s="82">
        <v>221</v>
      </c>
      <c r="D19" s="82">
        <v>241</v>
      </c>
      <c r="E19" s="82">
        <v>229</v>
      </c>
      <c r="F19" s="82">
        <v>218</v>
      </c>
      <c r="G19" s="83">
        <v>221</v>
      </c>
      <c r="H19" s="83">
        <v>226</v>
      </c>
      <c r="I19" s="84">
        <v>302.47000000000003</v>
      </c>
      <c r="J19" s="84">
        <v>440.55900000000003</v>
      </c>
      <c r="K19" s="85">
        <v>864.40899999999999</v>
      </c>
      <c r="L19" s="85">
        <v>1055.645</v>
      </c>
      <c r="M19" s="86">
        <v>252.52699999999999</v>
      </c>
      <c r="N19" s="87"/>
      <c r="O19" s="38" t="s">
        <v>130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40">
        <v>1</v>
      </c>
      <c r="W19" s="40">
        <v>401.54599999999999</v>
      </c>
      <c r="X19" s="41">
        <v>4.601</v>
      </c>
      <c r="Y19" s="42">
        <v>6.3040000000000003</v>
      </c>
      <c r="Z19" s="239"/>
    </row>
    <row r="20" spans="2:26">
      <c r="B20" s="38" t="s">
        <v>26</v>
      </c>
      <c r="C20" s="82">
        <v>13</v>
      </c>
      <c r="D20" s="82">
        <v>11</v>
      </c>
      <c r="E20" s="82">
        <v>8</v>
      </c>
      <c r="F20" s="82">
        <v>31</v>
      </c>
      <c r="G20" s="82">
        <v>29</v>
      </c>
      <c r="H20" s="82">
        <v>25</v>
      </c>
      <c r="I20" s="84">
        <v>46.28</v>
      </c>
      <c r="J20" s="84">
        <v>97.882999999999996</v>
      </c>
      <c r="K20" s="85">
        <v>188.30500000000001</v>
      </c>
      <c r="L20" s="85">
        <v>202.65199999999999</v>
      </c>
      <c r="M20" s="86">
        <v>37.307000000000002</v>
      </c>
      <c r="N20" s="59"/>
      <c r="O20" s="38" t="s">
        <v>131</v>
      </c>
      <c r="P20" s="39"/>
      <c r="Q20" s="39"/>
      <c r="R20" s="39"/>
      <c r="S20" s="39"/>
      <c r="T20" s="39"/>
      <c r="U20" s="39"/>
      <c r="V20" s="40"/>
      <c r="W20" s="40"/>
      <c r="X20" s="4"/>
      <c r="Y20" s="9"/>
      <c r="Z20" s="239"/>
    </row>
    <row r="21" spans="2:26">
      <c r="B21" s="38" t="s">
        <v>27</v>
      </c>
      <c r="C21" s="88">
        <v>222</v>
      </c>
      <c r="D21" s="89">
        <v>267</v>
      </c>
      <c r="E21" s="89">
        <v>323</v>
      </c>
      <c r="F21" s="89">
        <v>300</v>
      </c>
      <c r="G21" s="89">
        <v>257</v>
      </c>
      <c r="H21" s="89">
        <v>241</v>
      </c>
      <c r="I21" s="90">
        <v>356</v>
      </c>
      <c r="J21" s="90">
        <v>434.98599999999999</v>
      </c>
      <c r="K21" s="91">
        <v>508.36</v>
      </c>
      <c r="L21" s="91">
        <v>503.54899999999998</v>
      </c>
      <c r="M21" s="92">
        <v>199.82499999999999</v>
      </c>
      <c r="N21" s="59"/>
      <c r="O21" s="93" t="s">
        <v>87</v>
      </c>
      <c r="P21" s="39">
        <v>0</v>
      </c>
      <c r="Q21" s="39">
        <v>100</v>
      </c>
      <c r="R21" s="39">
        <v>448</v>
      </c>
      <c r="S21" s="39">
        <v>398</v>
      </c>
      <c r="T21" s="39">
        <v>398</v>
      </c>
      <c r="U21" s="39">
        <v>652.19200000000001</v>
      </c>
      <c r="V21" s="40">
        <v>844.53</v>
      </c>
      <c r="W21" s="40">
        <v>945.39</v>
      </c>
      <c r="X21" s="41">
        <v>697.79399999999998</v>
      </c>
      <c r="Y21" s="42">
        <v>111.68</v>
      </c>
      <c r="Z21" s="239"/>
    </row>
    <row r="22" spans="2:26">
      <c r="B22" s="38" t="s">
        <v>122</v>
      </c>
      <c r="C22" s="88"/>
      <c r="D22" s="89"/>
      <c r="E22" s="89"/>
      <c r="F22" s="89"/>
      <c r="G22" s="89"/>
      <c r="H22" s="89"/>
      <c r="I22" s="90"/>
      <c r="J22" s="90"/>
      <c r="K22" s="91">
        <v>281.572</v>
      </c>
      <c r="L22" s="91">
        <v>-263.82100000000003</v>
      </c>
      <c r="M22" s="92">
        <v>0</v>
      </c>
      <c r="N22" s="59"/>
      <c r="O22" s="94" t="s">
        <v>88</v>
      </c>
      <c r="P22" s="39">
        <v>61</v>
      </c>
      <c r="Q22" s="39">
        <v>72</v>
      </c>
      <c r="R22" s="39">
        <v>50</v>
      </c>
      <c r="S22" s="39">
        <v>60</v>
      </c>
      <c r="T22" s="39">
        <v>66</v>
      </c>
      <c r="U22" s="39">
        <v>0</v>
      </c>
      <c r="V22" s="40">
        <v>0</v>
      </c>
      <c r="W22" s="40">
        <v>0</v>
      </c>
      <c r="X22" s="6" t="s">
        <v>123</v>
      </c>
      <c r="Y22" s="10" t="s">
        <v>123</v>
      </c>
      <c r="Z22" s="239"/>
    </row>
    <row r="23" spans="2:26">
      <c r="B23" s="33" t="s">
        <v>28</v>
      </c>
      <c r="C23" s="34">
        <f t="shared" ref="C23:J23" si="18">C15-SUM(C19:C20)+C21</f>
        <v>675</v>
      </c>
      <c r="D23" s="34">
        <f t="shared" si="18"/>
        <v>530</v>
      </c>
      <c r="E23" s="34">
        <f t="shared" si="18"/>
        <v>879</v>
      </c>
      <c r="F23" s="34">
        <f t="shared" si="18"/>
        <v>831</v>
      </c>
      <c r="G23" s="34">
        <f t="shared" si="18"/>
        <v>1131</v>
      </c>
      <c r="H23" s="34">
        <f t="shared" si="18"/>
        <v>2149.3999999999978</v>
      </c>
      <c r="I23" s="34">
        <f t="shared" si="18"/>
        <v>3187.3600000000042</v>
      </c>
      <c r="J23" s="34">
        <f t="shared" si="18"/>
        <v>3774.608000000002</v>
      </c>
      <c r="K23" s="35">
        <f>K15-SUM(K19:K20)+K21+K22</f>
        <v>2985.5349999999994</v>
      </c>
      <c r="L23" s="95">
        <f>L15-SUM(L19:L20)+L21+L22</f>
        <v>499.16600000000051</v>
      </c>
      <c r="M23" s="96">
        <f>M15-SUM(M19:M20)+M21+M22</f>
        <v>210.48300000000108</v>
      </c>
      <c r="N23" s="59"/>
      <c r="O23" s="93" t="s">
        <v>31</v>
      </c>
      <c r="P23" s="39">
        <v>233</v>
      </c>
      <c r="Q23" s="39">
        <v>70</v>
      </c>
      <c r="R23" s="39">
        <v>232</v>
      </c>
      <c r="S23" s="39">
        <v>127</v>
      </c>
      <c r="T23" s="39">
        <v>85</v>
      </c>
      <c r="U23" s="39">
        <v>138.703</v>
      </c>
      <c r="V23" s="40">
        <v>123.36</v>
      </c>
      <c r="W23" s="40">
        <v>421.435</v>
      </c>
      <c r="X23" s="41">
        <v>406.077</v>
      </c>
      <c r="Y23" s="42">
        <v>422.28699999999998</v>
      </c>
      <c r="Z23" s="239"/>
    </row>
    <row r="24" spans="2:26">
      <c r="B24" s="38" t="s">
        <v>29</v>
      </c>
      <c r="C24" s="97">
        <v>229</v>
      </c>
      <c r="D24" s="97">
        <v>135</v>
      </c>
      <c r="E24" s="97">
        <v>197</v>
      </c>
      <c r="F24" s="97">
        <v>127</v>
      </c>
      <c r="G24" s="97">
        <v>321</v>
      </c>
      <c r="H24" s="97">
        <v>546</v>
      </c>
      <c r="I24" s="97">
        <v>789.06</v>
      </c>
      <c r="J24" s="97">
        <v>940.69899999999996</v>
      </c>
      <c r="K24" s="98">
        <v>796.20500000000004</v>
      </c>
      <c r="L24" s="98">
        <v>260.69900000000001</v>
      </c>
      <c r="M24" s="99">
        <v>94.427999999999997</v>
      </c>
      <c r="N24" s="26"/>
      <c r="O24" s="93"/>
      <c r="P24" s="39"/>
      <c r="Q24" s="39"/>
      <c r="R24" s="39"/>
      <c r="S24" s="39"/>
      <c r="T24" s="39"/>
      <c r="U24" s="39"/>
      <c r="V24" s="40"/>
      <c r="W24" s="40"/>
      <c r="X24" s="4"/>
      <c r="Y24" s="9"/>
      <c r="Z24" s="239"/>
    </row>
    <row r="25" spans="2:26">
      <c r="B25" s="43" t="s">
        <v>30</v>
      </c>
      <c r="C25" s="100">
        <f>+C24/C23</f>
        <v>0.33925925925925926</v>
      </c>
      <c r="D25" s="100">
        <f>+D24/D23</f>
        <v>0.25471698113207547</v>
      </c>
      <c r="E25" s="100">
        <f>+E24/E23</f>
        <v>0.22411831626848691</v>
      </c>
      <c r="F25" s="100">
        <f>+F24/F23</f>
        <v>0.15282791817087846</v>
      </c>
      <c r="G25" s="100">
        <f>+G24/G23</f>
        <v>0.28381962864721483</v>
      </c>
      <c r="H25" s="100">
        <f t="shared" ref="H25:M25" si="19">H24/H23</f>
        <v>0.25402437889643648</v>
      </c>
      <c r="I25" s="101">
        <f t="shared" si="19"/>
        <v>0.24755910847848969</v>
      </c>
      <c r="J25" s="101">
        <f t="shared" si="19"/>
        <v>0.24921766710609405</v>
      </c>
      <c r="K25" s="102">
        <f t="shared" si="19"/>
        <v>0.26668754511335496</v>
      </c>
      <c r="L25" s="102">
        <f t="shared" si="19"/>
        <v>0.52226914493374899</v>
      </c>
      <c r="M25" s="103">
        <f t="shared" si="19"/>
        <v>0.44862530465643075</v>
      </c>
      <c r="N25" s="59"/>
      <c r="O25" s="93" t="s">
        <v>132</v>
      </c>
      <c r="P25" s="39">
        <v>26</v>
      </c>
      <c r="Q25" s="39">
        <v>41</v>
      </c>
      <c r="R25" s="39">
        <v>93</v>
      </c>
      <c r="S25" s="39">
        <v>181</v>
      </c>
      <c r="T25" s="39">
        <v>104</v>
      </c>
      <c r="U25" s="39">
        <v>19.283000000000001</v>
      </c>
      <c r="V25" s="40">
        <v>111.47</v>
      </c>
      <c r="W25" s="40">
        <v>90.703999999999994</v>
      </c>
      <c r="X25" s="41">
        <v>262.42</v>
      </c>
      <c r="Y25" s="42">
        <v>545.21100000000001</v>
      </c>
      <c r="Z25" s="239"/>
    </row>
    <row r="26" spans="2:26">
      <c r="B26" s="33" t="s">
        <v>32</v>
      </c>
      <c r="C26" s="47">
        <f>C23-C24</f>
        <v>446</v>
      </c>
      <c r="D26" s="47">
        <f>D23-D24</f>
        <v>395</v>
      </c>
      <c r="E26" s="47">
        <v>682</v>
      </c>
      <c r="F26" s="47">
        <f t="shared" ref="F26:G26" si="20">F23-F24</f>
        <v>704</v>
      </c>
      <c r="G26" s="47">
        <f t="shared" si="20"/>
        <v>810</v>
      </c>
      <c r="H26" s="47">
        <v>1502</v>
      </c>
      <c r="I26" s="47">
        <f>I23-I24</f>
        <v>2398.3000000000043</v>
      </c>
      <c r="J26" s="47">
        <f>J23-J24</f>
        <v>2833.9090000000019</v>
      </c>
      <c r="K26" s="49">
        <f>K23-K24</f>
        <v>2189.3299999999995</v>
      </c>
      <c r="L26" s="49">
        <f>L23-L24</f>
        <v>238.4670000000005</v>
      </c>
      <c r="M26" s="75">
        <f>M23-M24</f>
        <v>116.05500000000109</v>
      </c>
      <c r="N26" s="104"/>
      <c r="O26" s="93" t="s">
        <v>133</v>
      </c>
      <c r="P26" s="39">
        <v>188</v>
      </c>
      <c r="Q26" s="39">
        <v>116</v>
      </c>
      <c r="R26" s="39">
        <v>117</v>
      </c>
      <c r="S26" s="39">
        <v>93</v>
      </c>
      <c r="T26" s="39">
        <v>90</v>
      </c>
      <c r="U26" s="39">
        <v>30.562000000000001</v>
      </c>
      <c r="V26" s="40">
        <v>49.76</v>
      </c>
      <c r="W26" s="40">
        <v>79.8</v>
      </c>
      <c r="X26" s="41">
        <v>87.635999999999996</v>
      </c>
      <c r="Y26" s="42">
        <v>142.08500000000001</v>
      </c>
      <c r="Z26" s="239"/>
    </row>
    <row r="27" spans="2:26">
      <c r="B27" s="78" t="s">
        <v>34</v>
      </c>
      <c r="C27" s="79">
        <f t="shared" ref="C27:L27" si="21">C26/C5</f>
        <v>4.6696680975814052E-2</v>
      </c>
      <c r="D27" s="79">
        <f t="shared" si="21"/>
        <v>4.2772062804547914E-2</v>
      </c>
      <c r="E27" s="79">
        <f t="shared" si="21"/>
        <v>5.9766891595828583E-2</v>
      </c>
      <c r="F27" s="79">
        <f t="shared" si="21"/>
        <v>6.3860667634252535E-2</v>
      </c>
      <c r="G27" s="79">
        <f t="shared" si="21"/>
        <v>6.2083237525868015E-2</v>
      </c>
      <c r="H27" s="79">
        <f t="shared" si="21"/>
        <v>6.4094904839122641E-2</v>
      </c>
      <c r="I27" s="79">
        <f t="shared" si="21"/>
        <v>6.7978312018836654E-2</v>
      </c>
      <c r="J27" s="79">
        <f t="shared" si="21"/>
        <v>8.1756531731553991E-2</v>
      </c>
      <c r="K27" s="80">
        <f t="shared" si="21"/>
        <v>6.7822223637596796E-2</v>
      </c>
      <c r="L27" s="80">
        <f t="shared" si="21"/>
        <v>7.5276459091226638E-3</v>
      </c>
      <c r="M27" s="81">
        <f>M26/M5</f>
        <v>1.6212849830774909E-2</v>
      </c>
      <c r="N27" s="105"/>
      <c r="O27" s="55" t="s">
        <v>33</v>
      </c>
      <c r="P27" s="106">
        <f t="shared" ref="P27:Q27" si="22">SUM(P28:P37)</f>
        <v>8353</v>
      </c>
      <c r="Q27" s="106">
        <f t="shared" si="22"/>
        <v>7920</v>
      </c>
      <c r="R27" s="106">
        <f t="shared" ref="R27:V27" si="23">SUM(R28:R37)</f>
        <v>8608</v>
      </c>
      <c r="S27" s="106">
        <f t="shared" si="23"/>
        <v>7798</v>
      </c>
      <c r="T27" s="106">
        <f t="shared" si="23"/>
        <v>12353</v>
      </c>
      <c r="U27" s="106">
        <f t="shared" si="23"/>
        <v>18405.165000000001</v>
      </c>
      <c r="V27" s="107">
        <f t="shared" si="23"/>
        <v>21819.719999999998</v>
      </c>
      <c r="W27" s="107">
        <f>SUM(W28:W38)</f>
        <v>22239.531999999999</v>
      </c>
      <c r="X27" s="108">
        <f>SUM(X28:X38)</f>
        <v>24301.178</v>
      </c>
      <c r="Y27" s="109">
        <f>SUM(Y28:Y38)</f>
        <v>23676.260999999999</v>
      </c>
      <c r="Z27" s="239"/>
    </row>
    <row r="28" spans="2:26">
      <c r="B28" s="43" t="s">
        <v>12</v>
      </c>
      <c r="C28" s="44" t="s">
        <v>13</v>
      </c>
      <c r="D28" s="44">
        <f t="shared" ref="D28:H28" si="24">+D26/C26-1</f>
        <v>-0.11434977578475336</v>
      </c>
      <c r="E28" s="44">
        <f t="shared" si="24"/>
        <v>0.72658227848101276</v>
      </c>
      <c r="F28" s="44">
        <f t="shared" si="24"/>
        <v>3.2258064516129004E-2</v>
      </c>
      <c r="G28" s="44">
        <f t="shared" si="24"/>
        <v>0.15056818181818188</v>
      </c>
      <c r="H28" s="44">
        <f t="shared" si="24"/>
        <v>0.85432098765432096</v>
      </c>
      <c r="I28" s="44">
        <f>+I26/H26-1</f>
        <v>0.59673768308921726</v>
      </c>
      <c r="J28" s="44">
        <f>+J26/I26-1</f>
        <v>0.18163240628778587</v>
      </c>
      <c r="K28" s="45">
        <f>+K26/J26-1</f>
        <v>-0.22745225764130117</v>
      </c>
      <c r="L28" s="45">
        <f>+L26/K26-1</f>
        <v>-0.89107763562368369</v>
      </c>
      <c r="M28" s="46"/>
      <c r="N28" s="110"/>
      <c r="O28" s="38" t="s">
        <v>35</v>
      </c>
      <c r="P28" s="39">
        <v>1045</v>
      </c>
      <c r="Q28" s="111">
        <v>808</v>
      </c>
      <c r="R28" s="111">
        <v>1264</v>
      </c>
      <c r="S28" s="111">
        <v>1111</v>
      </c>
      <c r="T28" s="112">
        <v>1289</v>
      </c>
      <c r="U28" s="39">
        <v>3450.3009999999999</v>
      </c>
      <c r="V28" s="40">
        <v>3336.24</v>
      </c>
      <c r="W28" s="40">
        <v>2208.5219999999999</v>
      </c>
      <c r="X28" s="41">
        <v>2533.11</v>
      </c>
      <c r="Y28" s="42">
        <v>2661.1030000000001</v>
      </c>
      <c r="Z28" s="239"/>
    </row>
    <row r="29" spans="2:26">
      <c r="B29" s="50" t="s">
        <v>15</v>
      </c>
      <c r="C29" s="51" t="s">
        <v>13</v>
      </c>
      <c r="D29" s="51" t="s">
        <v>13</v>
      </c>
      <c r="E29" s="51" t="s">
        <v>13</v>
      </c>
      <c r="F29" s="51">
        <f t="shared" ref="F29:J29" si="25">((F26/C26)^(1/3)-1)</f>
        <v>0.16433852342602329</v>
      </c>
      <c r="G29" s="51">
        <f t="shared" si="25"/>
        <v>0.27046481247836063</v>
      </c>
      <c r="H29" s="51">
        <f t="shared" si="25"/>
        <v>0.30105359184785474</v>
      </c>
      <c r="I29" s="51">
        <f t="shared" si="25"/>
        <v>0.5046781556813249</v>
      </c>
      <c r="J29" s="51">
        <f t="shared" si="25"/>
        <v>0.51809969795240796</v>
      </c>
      <c r="K29" s="52">
        <f>((K26/H26)^(1/3)-1)</f>
        <v>0.13382779313515392</v>
      </c>
      <c r="L29" s="52">
        <f>((L26/I26)^(1/3)-1)</f>
        <v>-0.53672208905562147</v>
      </c>
      <c r="M29" s="53"/>
      <c r="N29" s="113"/>
      <c r="O29" s="38" t="s">
        <v>36</v>
      </c>
      <c r="P29" s="39"/>
      <c r="Q29" s="114"/>
      <c r="R29" s="114"/>
      <c r="S29" s="114"/>
      <c r="T29" s="115"/>
      <c r="U29" s="39"/>
      <c r="V29" s="40"/>
      <c r="W29" s="40"/>
      <c r="X29" s="41"/>
      <c r="Y29" s="42"/>
      <c r="Z29" s="239"/>
    </row>
    <row r="30" spans="2:26">
      <c r="B30" s="116" t="s">
        <v>38</v>
      </c>
      <c r="C30" s="117">
        <v>-6</v>
      </c>
      <c r="D30" s="118">
        <v>8</v>
      </c>
      <c r="E30" s="118">
        <v>6</v>
      </c>
      <c r="F30" s="117">
        <v>-3</v>
      </c>
      <c r="G30" s="117">
        <v>11</v>
      </c>
      <c r="H30" s="117">
        <v>-22</v>
      </c>
      <c r="I30" s="117">
        <v>-16.329999999999998</v>
      </c>
      <c r="J30" s="117">
        <v>-49.960999999999999</v>
      </c>
      <c r="K30" s="119">
        <v>-21.641999999999999</v>
      </c>
      <c r="L30" s="119">
        <v>33.167999999999999</v>
      </c>
      <c r="M30" s="120">
        <v>6.7430000000000003</v>
      </c>
      <c r="N30" s="37"/>
      <c r="O30" s="93" t="s">
        <v>37</v>
      </c>
      <c r="P30" s="39">
        <v>1343</v>
      </c>
      <c r="Q30" s="39">
        <v>1909</v>
      </c>
      <c r="R30" s="39">
        <v>1657</v>
      </c>
      <c r="S30" s="39">
        <v>1237</v>
      </c>
      <c r="T30" s="121">
        <v>2950</v>
      </c>
      <c r="U30" s="39">
        <v>3978.7730000000001</v>
      </c>
      <c r="V30" s="40">
        <v>4584.3999999999996</v>
      </c>
      <c r="W30" s="40">
        <v>4021.3330000000001</v>
      </c>
      <c r="X30" s="41">
        <v>3584.241</v>
      </c>
      <c r="Y30" s="42">
        <v>4069.498</v>
      </c>
      <c r="Z30" s="239"/>
    </row>
    <row r="31" spans="2:26">
      <c r="B31" s="122" t="s">
        <v>40</v>
      </c>
      <c r="C31" s="123">
        <f>+C26+C30</f>
        <v>440</v>
      </c>
      <c r="D31" s="123">
        <f t="shared" ref="D31:H31" si="26">+D26+D30</f>
        <v>403</v>
      </c>
      <c r="E31" s="123">
        <f t="shared" si="26"/>
        <v>688</v>
      </c>
      <c r="F31" s="123">
        <f t="shared" si="26"/>
        <v>701</v>
      </c>
      <c r="G31" s="123">
        <f t="shared" si="26"/>
        <v>821</v>
      </c>
      <c r="H31" s="123">
        <f t="shared" si="26"/>
        <v>1480</v>
      </c>
      <c r="I31" s="123">
        <f>+I26+I30</f>
        <v>2381.9700000000043</v>
      </c>
      <c r="J31" s="123">
        <f>+J26+J30</f>
        <v>2783.9480000000021</v>
      </c>
      <c r="K31" s="124">
        <f>+K26+K30</f>
        <v>2167.6879999999996</v>
      </c>
      <c r="L31" s="124">
        <f>+L26+L30</f>
        <v>271.6350000000005</v>
      </c>
      <c r="M31" s="125">
        <f>+M26+M30</f>
        <v>122.79800000000108</v>
      </c>
      <c r="N31" s="77"/>
      <c r="O31" s="93" t="s">
        <v>39</v>
      </c>
      <c r="P31" s="39">
        <v>2949</v>
      </c>
      <c r="Q31" s="39">
        <v>2625</v>
      </c>
      <c r="R31" s="39">
        <v>3053</v>
      </c>
      <c r="S31" s="39">
        <v>3301</v>
      </c>
      <c r="T31" s="121">
        <v>4534</v>
      </c>
      <c r="U31" s="39">
        <v>5117.9409999999998</v>
      </c>
      <c r="V31" s="40">
        <v>7948.33</v>
      </c>
      <c r="W31" s="40">
        <v>6432.2489999999998</v>
      </c>
      <c r="X31" s="41">
        <v>5559.8639999999996</v>
      </c>
      <c r="Y31" s="42">
        <v>5586.7730000000001</v>
      </c>
      <c r="Z31" s="239"/>
    </row>
    <row r="32" spans="2:26">
      <c r="B32" s="33" t="s">
        <v>41</v>
      </c>
      <c r="C32" s="126">
        <v>2.4900000000000002</v>
      </c>
      <c r="D32" s="126">
        <v>2.1800000000000002</v>
      </c>
      <c r="E32" s="126">
        <v>3.74</v>
      </c>
      <c r="F32" s="126">
        <v>3.85</v>
      </c>
      <c r="G32" s="126">
        <v>4.42</v>
      </c>
      <c r="H32" s="126">
        <v>8.18</v>
      </c>
      <c r="I32" s="126">
        <v>13.05</v>
      </c>
      <c r="J32" s="126">
        <v>15.42</v>
      </c>
      <c r="K32" s="127">
        <v>11.91</v>
      </c>
      <c r="L32" s="127">
        <v>1.3</v>
      </c>
      <c r="M32" s="128">
        <v>0.63</v>
      </c>
      <c r="N32" s="129"/>
      <c r="O32" s="93" t="s">
        <v>95</v>
      </c>
      <c r="P32" s="39">
        <v>692</v>
      </c>
      <c r="Q32" s="39">
        <v>772</v>
      </c>
      <c r="R32" s="39">
        <v>636</v>
      </c>
      <c r="S32" s="39">
        <v>458</v>
      </c>
      <c r="T32" s="121">
        <v>1011</v>
      </c>
      <c r="U32" s="39">
        <v>1074.5630000000001</v>
      </c>
      <c r="V32" s="40">
        <v>985.81</v>
      </c>
      <c r="W32" s="40">
        <v>1684.1579999999999</v>
      </c>
      <c r="X32" s="41">
        <v>1259.191</v>
      </c>
      <c r="Y32" s="42">
        <v>1423.6959999999999</v>
      </c>
      <c r="Z32" s="239"/>
    </row>
    <row r="33" spans="2:26">
      <c r="B33" s="43" t="s">
        <v>12</v>
      </c>
      <c r="C33" s="44" t="s">
        <v>13</v>
      </c>
      <c r="D33" s="44">
        <f t="shared" ref="D33:H33" si="27">+D32/C32-1</f>
        <v>-0.12449799196787148</v>
      </c>
      <c r="E33" s="44">
        <f t="shared" si="27"/>
        <v>0.71559633027522929</v>
      </c>
      <c r="F33" s="44">
        <f t="shared" si="27"/>
        <v>2.9411764705882248E-2</v>
      </c>
      <c r="G33" s="44">
        <f>+G32/F32-1</f>
        <v>0.14805194805194799</v>
      </c>
      <c r="H33" s="44">
        <f t="shared" si="27"/>
        <v>0.85067873303167407</v>
      </c>
      <c r="I33" s="44">
        <f>+I32/H32-1</f>
        <v>0.59535452322738402</v>
      </c>
      <c r="J33" s="44">
        <f>+J32/I32-1</f>
        <v>0.1816091954022987</v>
      </c>
      <c r="K33" s="45">
        <f>+K32/J32-1</f>
        <v>-0.22762645914396884</v>
      </c>
      <c r="L33" s="45">
        <f>+L32/K32-1</f>
        <v>-0.89084802686817799</v>
      </c>
      <c r="M33" s="46"/>
      <c r="N33" s="129"/>
      <c r="O33" s="93" t="s">
        <v>42</v>
      </c>
      <c r="P33" s="39">
        <v>44</v>
      </c>
      <c r="Q33" s="39">
        <v>30</v>
      </c>
      <c r="R33" s="39">
        <v>244</v>
      </c>
      <c r="S33" s="39">
        <v>35</v>
      </c>
      <c r="T33" s="121">
        <v>313</v>
      </c>
      <c r="U33" s="39">
        <v>476.267</v>
      </c>
      <c r="V33" s="40">
        <v>462.38</v>
      </c>
      <c r="W33" s="40">
        <v>442.9</v>
      </c>
      <c r="X33" s="41">
        <v>552.51400000000001</v>
      </c>
      <c r="Y33" s="42">
        <v>613.72400000000005</v>
      </c>
      <c r="Z33" s="239"/>
    </row>
    <row r="34" spans="2:26" ht="16.2" thickBot="1">
      <c r="B34" s="130" t="s">
        <v>15</v>
      </c>
      <c r="C34" s="131" t="s">
        <v>13</v>
      </c>
      <c r="D34" s="131" t="s">
        <v>13</v>
      </c>
      <c r="E34" s="131" t="s">
        <v>13</v>
      </c>
      <c r="F34" s="131">
        <f t="shared" ref="F34:H34" si="28">+((F32/C32)^(1/3)-1)</f>
        <v>0.15634420286555151</v>
      </c>
      <c r="G34" s="131">
        <v>0.52200000000000002</v>
      </c>
      <c r="H34" s="131">
        <f t="shared" si="28"/>
        <v>0.29805740936174163</v>
      </c>
      <c r="I34" s="131">
        <f>+((I32/F32)^(1/3)-1)</f>
        <v>0.50216138627488083</v>
      </c>
      <c r="J34" s="131">
        <f>+((J32/G32)^(1/3)-1)</f>
        <v>0.51665697982916181</v>
      </c>
      <c r="K34" s="132">
        <f>+((K32/H32)^(1/3)-1)</f>
        <v>0.13340768390847813</v>
      </c>
      <c r="L34" s="132">
        <f>+((L32/I32)^(1/3)-1)</f>
        <v>-0.53643467084549878</v>
      </c>
      <c r="M34" s="133"/>
      <c r="N34" s="129"/>
      <c r="O34" s="93" t="s">
        <v>43</v>
      </c>
      <c r="P34" s="39">
        <v>0</v>
      </c>
      <c r="Q34" s="39">
        <v>1</v>
      </c>
      <c r="R34" s="39">
        <v>2</v>
      </c>
      <c r="S34" s="39">
        <v>0</v>
      </c>
      <c r="T34" s="39">
        <v>0</v>
      </c>
      <c r="U34" s="39">
        <v>0</v>
      </c>
      <c r="V34" s="40">
        <v>0</v>
      </c>
      <c r="W34" s="40">
        <v>0</v>
      </c>
      <c r="X34" s="134" t="s">
        <v>123</v>
      </c>
      <c r="Y34" s="135"/>
      <c r="Z34" s="239"/>
    </row>
    <row r="35" spans="2:26" ht="16.2" thickBot="1">
      <c r="B35" s="222"/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41"/>
      <c r="N35" s="242"/>
      <c r="O35" s="93" t="s">
        <v>44</v>
      </c>
      <c r="P35" s="39">
        <v>33</v>
      </c>
      <c r="Q35" s="39">
        <v>16</v>
      </c>
      <c r="R35" s="39">
        <v>62</v>
      </c>
      <c r="S35" s="39">
        <v>39</v>
      </c>
      <c r="T35" s="39">
        <v>46</v>
      </c>
      <c r="U35" s="39">
        <v>74.504000000000005</v>
      </c>
      <c r="V35" s="40">
        <v>187</v>
      </c>
      <c r="W35" s="40">
        <v>153.02699999999999</v>
      </c>
      <c r="X35" s="41">
        <v>151.80799999999999</v>
      </c>
      <c r="Y35" s="42">
        <v>149.51300000000001</v>
      </c>
      <c r="Z35" s="239"/>
    </row>
    <row r="36" spans="2:26" ht="16.2" thickBot="1">
      <c r="B36" s="136" t="s">
        <v>46</v>
      </c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6"/>
      <c r="N36" s="37"/>
      <c r="O36" s="93" t="s">
        <v>45</v>
      </c>
      <c r="P36" s="39">
        <v>83</v>
      </c>
      <c r="Q36" s="39">
        <v>55</v>
      </c>
      <c r="R36" s="39">
        <v>92</v>
      </c>
      <c r="S36" s="39">
        <v>85</v>
      </c>
      <c r="T36" s="39">
        <v>0</v>
      </c>
      <c r="U36" s="39">
        <v>0</v>
      </c>
      <c r="V36" s="40">
        <v>54.1</v>
      </c>
      <c r="W36" s="40">
        <v>84.798000000000002</v>
      </c>
      <c r="X36" s="41">
        <v>112.761</v>
      </c>
      <c r="Y36" s="10" t="s">
        <v>123</v>
      </c>
      <c r="Z36" s="239"/>
    </row>
    <row r="37" spans="2:26" ht="16.2" thickBot="1">
      <c r="B37" s="136" t="s">
        <v>2</v>
      </c>
      <c r="C37" s="16" t="s">
        <v>3</v>
      </c>
      <c r="D37" s="16" t="s">
        <v>4</v>
      </c>
      <c r="E37" s="13" t="s">
        <v>5</v>
      </c>
      <c r="F37" s="16" t="s">
        <v>6</v>
      </c>
      <c r="G37" s="16" t="s">
        <v>7</v>
      </c>
      <c r="H37" s="17" t="s">
        <v>99</v>
      </c>
      <c r="I37" s="16" t="s">
        <v>103</v>
      </c>
      <c r="J37" s="17" t="s">
        <v>118</v>
      </c>
      <c r="K37" s="17" t="s">
        <v>124</v>
      </c>
      <c r="L37" s="17" t="s">
        <v>126</v>
      </c>
      <c r="M37" s="237"/>
      <c r="N37" s="37"/>
      <c r="O37" s="38" t="s">
        <v>47</v>
      </c>
      <c r="P37" s="39">
        <v>2164</v>
      </c>
      <c r="Q37" s="39">
        <v>1704</v>
      </c>
      <c r="R37" s="39">
        <v>1598</v>
      </c>
      <c r="S37" s="39">
        <v>1532</v>
      </c>
      <c r="T37" s="39">
        <v>2210</v>
      </c>
      <c r="U37" s="39">
        <v>4232.8159999999998</v>
      </c>
      <c r="V37" s="40">
        <v>4261.46</v>
      </c>
      <c r="W37" s="40">
        <v>7075.6170000000002</v>
      </c>
      <c r="X37" s="41">
        <v>10547.689</v>
      </c>
      <c r="Y37" s="42">
        <v>9171.9539999999997</v>
      </c>
      <c r="Z37" s="239"/>
    </row>
    <row r="38" spans="2:26">
      <c r="B38" s="137" t="s">
        <v>49</v>
      </c>
      <c r="C38" s="23">
        <v>605</v>
      </c>
      <c r="D38" s="23">
        <v>692</v>
      </c>
      <c r="E38" s="23">
        <v>773</v>
      </c>
      <c r="F38" s="23">
        <f>E44</f>
        <v>636</v>
      </c>
      <c r="G38" s="138">
        <v>458</v>
      </c>
      <c r="H38" s="139">
        <v>1011</v>
      </c>
      <c r="I38" s="138">
        <v>1074.5630000000001</v>
      </c>
      <c r="J38" s="138">
        <v>985.81399999999996</v>
      </c>
      <c r="K38" s="138">
        <v>1684.1579999999999</v>
      </c>
      <c r="L38" s="138">
        <f>K44</f>
        <v>1259.1909999999998</v>
      </c>
      <c r="M38" s="234"/>
      <c r="N38" s="37"/>
      <c r="O38" s="38" t="s">
        <v>119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40">
        <v>0</v>
      </c>
      <c r="W38" s="40">
        <v>136.928</v>
      </c>
      <c r="X38" s="134" t="s">
        <v>123</v>
      </c>
      <c r="Y38" s="135"/>
      <c r="Z38" s="239"/>
    </row>
    <row r="39" spans="2:26">
      <c r="B39" s="140" t="s">
        <v>50</v>
      </c>
      <c r="C39" s="71">
        <v>202</v>
      </c>
      <c r="D39" s="71">
        <v>1014</v>
      </c>
      <c r="E39" s="71">
        <v>330</v>
      </c>
      <c r="F39" s="71">
        <v>147</v>
      </c>
      <c r="G39" s="72">
        <v>2251</v>
      </c>
      <c r="H39" s="71">
        <v>1747</v>
      </c>
      <c r="I39" s="72">
        <v>1621.32</v>
      </c>
      <c r="J39" s="72">
        <v>1993.854</v>
      </c>
      <c r="K39" s="72">
        <v>429.63799999999998</v>
      </c>
      <c r="L39" s="72">
        <v>2000.941</v>
      </c>
      <c r="M39" s="235"/>
      <c r="N39" s="37"/>
      <c r="O39" s="141" t="s">
        <v>48</v>
      </c>
      <c r="P39" s="64">
        <f t="shared" ref="P39:W39" si="29">SUM(P40:P45)</f>
        <v>4616</v>
      </c>
      <c r="Q39" s="64">
        <f t="shared" si="29"/>
        <v>3904</v>
      </c>
      <c r="R39" s="64">
        <f t="shared" si="29"/>
        <v>4854</v>
      </c>
      <c r="S39" s="64">
        <f t="shared" si="29"/>
        <v>4095</v>
      </c>
      <c r="T39" s="64">
        <f t="shared" si="29"/>
        <v>7643</v>
      </c>
      <c r="U39" s="64">
        <f t="shared" si="29"/>
        <v>12644.948</v>
      </c>
      <c r="V39" s="65">
        <f t="shared" si="29"/>
        <v>15005.313999999998</v>
      </c>
      <c r="W39" s="65">
        <f t="shared" si="29"/>
        <v>14591.191999999999</v>
      </c>
      <c r="X39" s="67">
        <f>SUM(X40:X45)</f>
        <v>16049.499</v>
      </c>
      <c r="Y39" s="66">
        <f>SUM(Y40:Y45)</f>
        <v>16189.786</v>
      </c>
      <c r="Z39" s="239"/>
    </row>
    <row r="40" spans="2:26">
      <c r="B40" s="140" t="s">
        <v>51</v>
      </c>
      <c r="C40" s="71">
        <v>-80</v>
      </c>
      <c r="D40" s="71">
        <v>-707</v>
      </c>
      <c r="E40" s="71">
        <v>-59</v>
      </c>
      <c r="F40" s="71">
        <v>621</v>
      </c>
      <c r="G40" s="72">
        <v>-1643</v>
      </c>
      <c r="H40" s="71">
        <v>-1267</v>
      </c>
      <c r="I40" s="72">
        <v>-844.41</v>
      </c>
      <c r="J40" s="72">
        <v>-101.17700000000001</v>
      </c>
      <c r="K40" s="72">
        <v>712.39700000000005</v>
      </c>
      <c r="L40" s="72">
        <v>64.266999999999996</v>
      </c>
      <c r="M40" s="235"/>
      <c r="N40" s="37"/>
      <c r="O40" s="68" t="s">
        <v>90</v>
      </c>
      <c r="P40" s="39"/>
      <c r="Q40" s="39"/>
      <c r="R40" s="39"/>
      <c r="S40" s="39"/>
      <c r="T40" s="39"/>
      <c r="U40" s="39"/>
      <c r="V40" s="39"/>
      <c r="W40" s="39"/>
      <c r="X40" s="4"/>
      <c r="Y40" s="9"/>
      <c r="Z40" s="239"/>
    </row>
    <row r="41" spans="2:26">
      <c r="B41" s="140" t="s">
        <v>52</v>
      </c>
      <c r="C41" s="71">
        <v>-39</v>
      </c>
      <c r="D41" s="71">
        <v>-247</v>
      </c>
      <c r="E41" s="71">
        <v>-434</v>
      </c>
      <c r="F41" s="71">
        <v>-980</v>
      </c>
      <c r="G41" s="72">
        <v>-63</v>
      </c>
      <c r="H41" s="71">
        <v>-443</v>
      </c>
      <c r="I41" s="72">
        <v>-933.97</v>
      </c>
      <c r="J41" s="72">
        <v>-1238.8889999999999</v>
      </c>
      <c r="K41" s="72">
        <v>-1608.4480000000001</v>
      </c>
      <c r="L41" s="72">
        <v>-1872.7190000000001</v>
      </c>
      <c r="M41" s="235"/>
      <c r="N41" s="37"/>
      <c r="O41" s="143" t="s">
        <v>91</v>
      </c>
      <c r="P41" s="39">
        <v>43</v>
      </c>
      <c r="Q41" s="39">
        <v>59</v>
      </c>
      <c r="R41" s="39">
        <v>0</v>
      </c>
      <c r="S41" s="39">
        <v>0</v>
      </c>
      <c r="T41" s="39">
        <v>0</v>
      </c>
      <c r="U41" s="39">
        <v>0</v>
      </c>
      <c r="V41" s="40">
        <v>0</v>
      </c>
      <c r="W41" s="40">
        <v>0</v>
      </c>
      <c r="X41" s="6" t="s">
        <v>123</v>
      </c>
      <c r="Y41" s="10" t="s">
        <v>123</v>
      </c>
      <c r="Z41" s="239"/>
    </row>
    <row r="42" spans="2:26">
      <c r="B42" s="140" t="s">
        <v>85</v>
      </c>
      <c r="C42" s="71">
        <v>4</v>
      </c>
      <c r="D42" s="71">
        <v>20</v>
      </c>
      <c r="E42" s="71">
        <v>27</v>
      </c>
      <c r="F42" s="71">
        <v>36</v>
      </c>
      <c r="G42" s="72">
        <v>8</v>
      </c>
      <c r="H42" s="71">
        <v>27</v>
      </c>
      <c r="I42" s="72">
        <v>68.319999999999993</v>
      </c>
      <c r="J42" s="72">
        <v>44.555999999999997</v>
      </c>
      <c r="K42" s="72">
        <v>41.445999999999998</v>
      </c>
      <c r="L42" s="72">
        <v>100.55</v>
      </c>
      <c r="M42" s="235"/>
      <c r="N42" s="37"/>
      <c r="O42" s="143" t="s">
        <v>92</v>
      </c>
      <c r="P42" s="39">
        <v>2134</v>
      </c>
      <c r="Q42" s="39">
        <v>1764</v>
      </c>
      <c r="R42" s="39">
        <v>2345</v>
      </c>
      <c r="S42" s="39">
        <v>1875</v>
      </c>
      <c r="T42" s="39">
        <v>3416</v>
      </c>
      <c r="U42" s="39">
        <f>396.408+3851.494</f>
        <v>4247.902</v>
      </c>
      <c r="V42" s="40">
        <v>5050.1499999999996</v>
      </c>
      <c r="W42" s="40">
        <f>890.872+4076.696</f>
        <v>4967.5680000000002</v>
      </c>
      <c r="X42" s="41">
        <f>940.014+3882.849</f>
        <v>4822.8630000000003</v>
      </c>
      <c r="Y42" s="42">
        <f>1257.359+4603.785</f>
        <v>5861.1440000000002</v>
      </c>
      <c r="Z42" s="239"/>
    </row>
    <row r="43" spans="2:26">
      <c r="B43" s="140" t="s">
        <v>54</v>
      </c>
      <c r="C43" s="71">
        <v>83</v>
      </c>
      <c r="D43" s="71">
        <v>60</v>
      </c>
      <c r="E43" s="71">
        <v>-164</v>
      </c>
      <c r="F43" s="71">
        <v>-213</v>
      </c>
      <c r="G43" s="72">
        <v>545</v>
      </c>
      <c r="H43" s="71">
        <v>36</v>
      </c>
      <c r="I43" s="72">
        <v>-157.07</v>
      </c>
      <c r="J43" s="72">
        <v>653.78800000000001</v>
      </c>
      <c r="K43" s="72">
        <v>-466.41300000000001</v>
      </c>
      <c r="L43" s="72">
        <v>63.954999999999998</v>
      </c>
      <c r="M43" s="235"/>
      <c r="N43" s="37"/>
      <c r="O43" s="143" t="s">
        <v>101</v>
      </c>
      <c r="P43" s="39">
        <v>64</v>
      </c>
      <c r="Q43" s="39">
        <v>125</v>
      </c>
      <c r="R43" s="39">
        <v>165</v>
      </c>
      <c r="S43" s="39">
        <v>175</v>
      </c>
      <c r="T43" s="39">
        <v>197</v>
      </c>
      <c r="U43" s="39">
        <f>233.416+63</f>
        <v>296.416</v>
      </c>
      <c r="V43" s="40">
        <f>158.757+388.529</f>
        <v>547.28600000000006</v>
      </c>
      <c r="W43" s="40">
        <f>276.138+631.132</f>
        <v>907.27</v>
      </c>
      <c r="X43" s="41">
        <f>445.696+491.726</f>
        <v>937.42200000000003</v>
      </c>
      <c r="Y43" s="42">
        <f>569.767+403.471</f>
        <v>973.23800000000006</v>
      </c>
      <c r="Z43" s="239"/>
    </row>
    <row r="44" spans="2:26" ht="16.2" thickBot="1">
      <c r="B44" s="144" t="s">
        <v>55</v>
      </c>
      <c r="C44" s="145">
        <f t="shared" ref="C44:G44" si="30">C38+C42+C43</f>
        <v>692</v>
      </c>
      <c r="D44" s="145">
        <f t="shared" si="30"/>
        <v>772</v>
      </c>
      <c r="E44" s="145">
        <f t="shared" si="30"/>
        <v>636</v>
      </c>
      <c r="F44" s="145">
        <f t="shared" si="30"/>
        <v>459</v>
      </c>
      <c r="G44" s="145">
        <f t="shared" si="30"/>
        <v>1011</v>
      </c>
      <c r="H44" s="145">
        <f>H38+H42+H43</f>
        <v>1074</v>
      </c>
      <c r="I44" s="146">
        <f>I38+I42+I43</f>
        <v>985.8130000000001</v>
      </c>
      <c r="J44" s="147">
        <f>J38+J42+J43</f>
        <v>1684.1579999999999</v>
      </c>
      <c r="K44" s="147">
        <f>K38+K42+K43</f>
        <v>1259.1909999999998</v>
      </c>
      <c r="L44" s="147">
        <f>L38+L42+L43</f>
        <v>1423.6959999999997</v>
      </c>
      <c r="M44" s="234"/>
      <c r="N44" s="37"/>
      <c r="O44" s="68" t="s">
        <v>53</v>
      </c>
      <c r="P44" s="39">
        <v>2196</v>
      </c>
      <c r="Q44" s="39">
        <v>1871</v>
      </c>
      <c r="R44" s="39">
        <v>2219</v>
      </c>
      <c r="S44" s="39">
        <v>1972</v>
      </c>
      <c r="T44" s="39">
        <v>3763</v>
      </c>
      <c r="U44" s="39">
        <v>7761.3530000000001</v>
      </c>
      <c r="V44" s="40">
        <v>8640.7279999999992</v>
      </c>
      <c r="W44" s="40">
        <v>7929.0169999999998</v>
      </c>
      <c r="X44" s="41">
        <v>9903.24</v>
      </c>
      <c r="Y44" s="42">
        <v>8988.0869999999995</v>
      </c>
      <c r="Z44" s="239"/>
    </row>
    <row r="45" spans="2:26" ht="16.2" thickBot="1">
      <c r="B45" s="148"/>
      <c r="C45" s="7"/>
      <c r="D45" s="7"/>
      <c r="E45" s="7"/>
      <c r="F45" s="7"/>
      <c r="G45" s="7"/>
      <c r="H45" s="7"/>
      <c r="I45" s="7"/>
      <c r="J45" s="7"/>
      <c r="K45" s="7"/>
      <c r="L45" s="7"/>
      <c r="M45" s="238"/>
      <c r="N45" s="37"/>
      <c r="O45" s="68" t="s">
        <v>121</v>
      </c>
      <c r="P45" s="39">
        <v>179</v>
      </c>
      <c r="Q45" s="39">
        <v>85</v>
      </c>
      <c r="R45" s="39">
        <v>125</v>
      </c>
      <c r="S45" s="39">
        <v>73</v>
      </c>
      <c r="T45" s="39">
        <v>267</v>
      </c>
      <c r="U45" s="39">
        <f>315.377+23.9</f>
        <v>339.27699999999999</v>
      </c>
      <c r="V45" s="40">
        <f>439.803+327.347</f>
        <v>767.15</v>
      </c>
      <c r="W45" s="40">
        <f>579.225+208.112</f>
        <v>787.33699999999999</v>
      </c>
      <c r="X45" s="41">
        <f>234.447+151.527</f>
        <v>385.97399999999999</v>
      </c>
      <c r="Y45" s="42">
        <f>336.358+30.959</f>
        <v>367.31700000000001</v>
      </c>
      <c r="Z45" s="239"/>
    </row>
    <row r="46" spans="2:26" ht="16.2" thickBot="1">
      <c r="B46" s="149" t="s">
        <v>57</v>
      </c>
      <c r="C46" s="150" t="s">
        <v>3</v>
      </c>
      <c r="D46" s="150" t="s">
        <v>4</v>
      </c>
      <c r="E46" s="150" t="s">
        <v>5</v>
      </c>
      <c r="F46" s="151" t="s">
        <v>6</v>
      </c>
      <c r="G46" s="16" t="s">
        <v>7</v>
      </c>
      <c r="H46" s="16" t="s">
        <v>99</v>
      </c>
      <c r="I46" s="17" t="s">
        <v>103</v>
      </c>
      <c r="J46" s="17" t="s">
        <v>118</v>
      </c>
      <c r="K46" s="17" t="s">
        <v>124</v>
      </c>
      <c r="L46" s="17" t="s">
        <v>126</v>
      </c>
      <c r="M46" s="239"/>
      <c r="N46" s="37"/>
      <c r="O46" s="141" t="s">
        <v>56</v>
      </c>
      <c r="P46" s="64">
        <f>SUM(P47:P50)</f>
        <v>158</v>
      </c>
      <c r="Q46" s="64">
        <v>159</v>
      </c>
      <c r="R46" s="64">
        <f t="shared" ref="R46:U46" si="31">SUM(R47:R50)</f>
        <v>159</v>
      </c>
      <c r="S46" s="64">
        <f t="shared" si="31"/>
        <v>324</v>
      </c>
      <c r="T46" s="64">
        <f t="shared" si="31"/>
        <v>270</v>
      </c>
      <c r="U46" s="64">
        <f t="shared" si="31"/>
        <v>318.08299999999997</v>
      </c>
      <c r="V46" s="65">
        <f>SUM(V47:V50)</f>
        <v>400.67499999999995</v>
      </c>
      <c r="W46" s="65">
        <f>SUM(W47:W51)</f>
        <v>1617.5249999999999</v>
      </c>
      <c r="X46" s="67">
        <f>SUM(X47:X51)</f>
        <v>1735.3310000000001</v>
      </c>
      <c r="Y46" s="66">
        <f>SUM(Y47:Y51)</f>
        <v>1276.6199999999999</v>
      </c>
      <c r="Z46" s="239"/>
    </row>
    <row r="47" spans="2:26">
      <c r="B47" s="152" t="s">
        <v>59</v>
      </c>
      <c r="C47" s="153">
        <f>C23</f>
        <v>675</v>
      </c>
      <c r="D47" s="153">
        <f>D23</f>
        <v>530</v>
      </c>
      <c r="E47" s="153">
        <f>E23</f>
        <v>879</v>
      </c>
      <c r="F47" s="153">
        <f>F23</f>
        <v>831</v>
      </c>
      <c r="G47" s="154">
        <v>1951</v>
      </c>
      <c r="H47" s="155">
        <f>H39</f>
        <v>1747</v>
      </c>
      <c r="I47" s="155">
        <f t="shared" ref="I47:K47" si="32">I39</f>
        <v>1621.32</v>
      </c>
      <c r="J47" s="155">
        <f t="shared" si="32"/>
        <v>1993.854</v>
      </c>
      <c r="K47" s="155">
        <f t="shared" si="32"/>
        <v>429.63799999999998</v>
      </c>
      <c r="L47" s="155">
        <f>L39</f>
        <v>2000.941</v>
      </c>
      <c r="M47" s="239"/>
      <c r="N47" s="37"/>
      <c r="O47" s="68" t="s">
        <v>90</v>
      </c>
      <c r="P47" s="39"/>
      <c r="Q47" s="39"/>
      <c r="R47" s="39"/>
      <c r="S47" s="39"/>
      <c r="T47" s="39"/>
      <c r="U47" s="39"/>
      <c r="V47" s="39"/>
      <c r="W47" s="39"/>
      <c r="X47" s="4"/>
      <c r="Y47" s="9"/>
      <c r="Z47" s="239"/>
    </row>
    <row r="48" spans="2:26">
      <c r="B48" s="156" t="s">
        <v>60</v>
      </c>
      <c r="C48" s="71">
        <f>C19</f>
        <v>221</v>
      </c>
      <c r="D48" s="71">
        <f>D19</f>
        <v>241</v>
      </c>
      <c r="E48" s="71">
        <f>E19</f>
        <v>229</v>
      </c>
      <c r="F48" s="71">
        <f>F19</f>
        <v>218</v>
      </c>
      <c r="G48" s="71">
        <v>277</v>
      </c>
      <c r="H48" s="72">
        <f>-352.005+(-1.131)</f>
        <v>-353.13599999999997</v>
      </c>
      <c r="I48" s="71">
        <f>-352.005+7.82</f>
        <v>-344.185</v>
      </c>
      <c r="J48" s="71">
        <f>-892.738+7.82</f>
        <v>-884.91800000000001</v>
      </c>
      <c r="K48" s="72">
        <f>-870.388+435.395</f>
        <v>-434.99300000000005</v>
      </c>
      <c r="L48" s="72">
        <f>-443.76+9.44</f>
        <v>-434.32</v>
      </c>
      <c r="M48" s="239"/>
      <c r="N48" s="142"/>
      <c r="O48" s="143" t="s">
        <v>91</v>
      </c>
      <c r="P48" s="39">
        <v>1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40">
        <v>0</v>
      </c>
      <c r="W48" s="40">
        <v>0</v>
      </c>
      <c r="X48" s="6" t="s">
        <v>123</v>
      </c>
      <c r="Y48" s="10" t="s">
        <v>123</v>
      </c>
      <c r="Z48" s="239"/>
    </row>
    <row r="49" spans="2:28" ht="16.2" thickBot="1">
      <c r="B49" s="157" t="s">
        <v>62</v>
      </c>
      <c r="C49" s="158">
        <f>-C21</f>
        <v>-222</v>
      </c>
      <c r="D49" s="158">
        <f>-0.016+186.844-0.195-152.241+26.979+1.526-24.508-0.782-3.156-37.187</f>
        <v>-2.7359999999999971</v>
      </c>
      <c r="E49" s="158">
        <f>1.005+190.389-0.568-202.328+109.392-0.741+0.329-8.256-45.603</f>
        <v>43.618999999999978</v>
      </c>
      <c r="F49" s="158">
        <f>1+159.7-0.2-220.8+109.2+2.5-97.2</f>
        <v>-45.800000000000011</v>
      </c>
      <c r="G49" s="159">
        <v>20</v>
      </c>
      <c r="H49" s="160">
        <f>SUM(H47:H48)</f>
        <v>1393.864</v>
      </c>
      <c r="I49" s="160">
        <f t="shared" ref="I49:K49" si="33">SUM(I47:I48)</f>
        <v>1277.135</v>
      </c>
      <c r="J49" s="160">
        <f t="shared" si="33"/>
        <v>1108.9360000000001</v>
      </c>
      <c r="K49" s="160">
        <f t="shared" si="33"/>
        <v>-5.355000000000075</v>
      </c>
      <c r="L49" s="160">
        <f>SUM(L47:L48)</f>
        <v>1566.6210000000001</v>
      </c>
      <c r="M49" s="239"/>
      <c r="N49" s="142"/>
      <c r="O49" s="143" t="s">
        <v>117</v>
      </c>
      <c r="P49" s="39">
        <v>0</v>
      </c>
      <c r="Q49" s="39">
        <v>0</v>
      </c>
      <c r="R49" s="39">
        <v>0</v>
      </c>
      <c r="S49" s="39">
        <v>152</v>
      </c>
      <c r="T49" s="39">
        <v>113</v>
      </c>
      <c r="U49" s="39">
        <v>147.55000000000001</v>
      </c>
      <c r="V49" s="40">
        <f>262.692+6.393</f>
        <v>269.08499999999998</v>
      </c>
      <c r="W49" s="40">
        <f>1417.185+6.393</f>
        <v>1423.578</v>
      </c>
      <c r="X49" s="41">
        <f>1503.112+6.393</f>
        <v>1509.5050000000001</v>
      </c>
      <c r="Y49" s="42">
        <f>1160.682+7.293</f>
        <v>1167.9749999999999</v>
      </c>
      <c r="Z49" s="239"/>
    </row>
    <row r="50" spans="2:28" ht="16.2" thickBot="1">
      <c r="B50" s="148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240"/>
      <c r="N50" s="142"/>
      <c r="O50" s="68" t="s">
        <v>58</v>
      </c>
      <c r="P50" s="39">
        <v>157</v>
      </c>
      <c r="Q50" s="39">
        <v>159</v>
      </c>
      <c r="R50" s="39">
        <v>159</v>
      </c>
      <c r="S50" s="39">
        <v>172</v>
      </c>
      <c r="T50" s="39">
        <v>157</v>
      </c>
      <c r="U50" s="39">
        <v>170.53299999999999</v>
      </c>
      <c r="V50" s="40">
        <v>131.59</v>
      </c>
      <c r="W50" s="40">
        <v>180.91499999999999</v>
      </c>
      <c r="X50" s="41">
        <v>195.72399999999999</v>
      </c>
      <c r="Y50" s="42">
        <v>108.645</v>
      </c>
      <c r="Z50" s="239"/>
    </row>
    <row r="51" spans="2:28" ht="16.2" thickBot="1">
      <c r="B51" s="162"/>
      <c r="C51" s="150" t="s">
        <v>3</v>
      </c>
      <c r="D51" s="150" t="s">
        <v>4</v>
      </c>
      <c r="E51" s="150" t="s">
        <v>5</v>
      </c>
      <c r="F51" s="151" t="s">
        <v>6</v>
      </c>
      <c r="G51" s="16" t="s">
        <v>7</v>
      </c>
      <c r="H51" s="16" t="s">
        <v>99</v>
      </c>
      <c r="I51" s="17" t="s">
        <v>103</v>
      </c>
      <c r="J51" s="16" t="s">
        <v>118</v>
      </c>
      <c r="K51" s="16" t="s">
        <v>124</v>
      </c>
      <c r="L51" s="17" t="s">
        <v>126</v>
      </c>
      <c r="M51" s="19" t="s">
        <v>134</v>
      </c>
      <c r="N51" s="142"/>
      <c r="O51" s="68" t="s">
        <v>120</v>
      </c>
      <c r="P51" s="111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40">
        <v>13.032</v>
      </c>
      <c r="X51" s="41">
        <v>30.102</v>
      </c>
      <c r="Y51" s="10" t="s">
        <v>123</v>
      </c>
      <c r="Z51" s="239"/>
      <c r="AA51" s="163"/>
    </row>
    <row r="52" spans="2:28">
      <c r="B52" s="164" t="s">
        <v>64</v>
      </c>
      <c r="C52" s="165">
        <v>179.4</v>
      </c>
      <c r="D52" s="165">
        <v>180.9</v>
      </c>
      <c r="E52" s="165">
        <v>182.6</v>
      </c>
      <c r="F52" s="165">
        <v>183.1</v>
      </c>
      <c r="G52" s="165">
        <v>183.2</v>
      </c>
      <c r="H52" s="166">
        <v>183.6</v>
      </c>
      <c r="I52" s="165">
        <f>183713088/10^6</f>
        <v>183.713088</v>
      </c>
      <c r="J52" s="167">
        <f>183813088/10^6</f>
        <v>183.81308799999999</v>
      </c>
      <c r="K52" s="166">
        <f>183813088/10^6</f>
        <v>183.81308799999999</v>
      </c>
      <c r="L52" s="166">
        <f>183813088/10^6</f>
        <v>183.81308799999999</v>
      </c>
      <c r="M52" s="168">
        <f>183813088/10^6</f>
        <v>183.81308799999999</v>
      </c>
      <c r="N52" s="142"/>
      <c r="O52" s="55" t="s">
        <v>18</v>
      </c>
      <c r="P52" s="65">
        <f t="shared" ref="P52:U52" si="34">(P12+P27)-P39</f>
        <v>7258</v>
      </c>
      <c r="Q52" s="65">
        <f t="shared" si="34"/>
        <v>7429</v>
      </c>
      <c r="R52" s="65">
        <f t="shared" si="34"/>
        <v>7616</v>
      </c>
      <c r="S52" s="65">
        <f t="shared" si="34"/>
        <v>7521</v>
      </c>
      <c r="T52" s="65">
        <f t="shared" si="34"/>
        <v>8295</v>
      </c>
      <c r="U52" s="65">
        <f t="shared" si="34"/>
        <v>9482.4480000000003</v>
      </c>
      <c r="V52" s="65">
        <f>V53-V39-1</f>
        <v>11180.525999999998</v>
      </c>
      <c r="W52" s="65">
        <f>W53-W39</f>
        <v>14363.223000000002</v>
      </c>
      <c r="X52" s="67">
        <f>X53-X39</f>
        <v>15554.227999999999</v>
      </c>
      <c r="Y52" s="66">
        <f>Y53-Y39</f>
        <v>14369.116999999998</v>
      </c>
      <c r="Z52" s="239"/>
    </row>
    <row r="53" spans="2:28">
      <c r="B53" s="68" t="s">
        <v>97</v>
      </c>
      <c r="C53" s="39">
        <f>C52*P59</f>
        <v>14352</v>
      </c>
      <c r="D53" s="39">
        <f>D52*Q59</f>
        <v>14544.36</v>
      </c>
      <c r="E53" s="39">
        <f>E52*R59</f>
        <v>28339.519999999997</v>
      </c>
      <c r="F53" s="39">
        <f>F52*S59</f>
        <v>10079.654999999999</v>
      </c>
      <c r="G53" s="39">
        <f>G52*T59</f>
        <v>35659.879999999997</v>
      </c>
      <c r="H53" s="169">
        <v>73147</v>
      </c>
      <c r="I53" s="39">
        <f>I52*V59</f>
        <v>62636.977353599999</v>
      </c>
      <c r="J53" s="39">
        <f>J52*W59</f>
        <v>97917.231977600008</v>
      </c>
      <c r="K53" s="169">
        <f>K52*X59</f>
        <v>101942.7386048</v>
      </c>
      <c r="L53" s="169">
        <f>L52*Y59</f>
        <v>58470.943292800002</v>
      </c>
      <c r="M53" s="170">
        <f>M52*Z59</f>
        <v>64545.965851199995</v>
      </c>
      <c r="N53" s="142"/>
      <c r="O53" s="55" t="s">
        <v>61</v>
      </c>
      <c r="P53" s="64">
        <f t="shared" ref="P53:Y53" si="35">P27+SUM(P13:P26)</f>
        <v>11874</v>
      </c>
      <c r="Q53" s="64">
        <f t="shared" si="35"/>
        <v>11333</v>
      </c>
      <c r="R53" s="64">
        <f t="shared" si="35"/>
        <v>12470</v>
      </c>
      <c r="S53" s="64">
        <f t="shared" si="35"/>
        <v>11616</v>
      </c>
      <c r="T53" s="64">
        <f t="shared" si="35"/>
        <v>15938</v>
      </c>
      <c r="U53" s="65">
        <f t="shared" si="35"/>
        <v>22127.396000000001</v>
      </c>
      <c r="V53" s="65">
        <f t="shared" si="35"/>
        <v>26186.839999999997</v>
      </c>
      <c r="W53" s="65">
        <f t="shared" si="35"/>
        <v>28954.415000000001</v>
      </c>
      <c r="X53" s="67">
        <f t="shared" si="35"/>
        <v>31603.726999999999</v>
      </c>
      <c r="Y53" s="66">
        <f t="shared" si="35"/>
        <v>30558.902999999998</v>
      </c>
      <c r="Z53" s="239"/>
    </row>
    <row r="54" spans="2:28" ht="16.2" thickBot="1">
      <c r="B54" s="68" t="s">
        <v>66</v>
      </c>
      <c r="C54" s="39">
        <f t="shared" ref="C54:H54" si="36">P41+P48</f>
        <v>44</v>
      </c>
      <c r="D54" s="39">
        <f t="shared" si="36"/>
        <v>59</v>
      </c>
      <c r="E54" s="39">
        <f t="shared" si="36"/>
        <v>0</v>
      </c>
      <c r="F54" s="39">
        <f t="shared" si="36"/>
        <v>0</v>
      </c>
      <c r="G54" s="39">
        <f t="shared" si="36"/>
        <v>0</v>
      </c>
      <c r="H54" s="169">
        <f t="shared" si="36"/>
        <v>0</v>
      </c>
      <c r="I54" s="39">
        <v>0</v>
      </c>
      <c r="J54" s="39">
        <v>0</v>
      </c>
      <c r="K54" s="169">
        <v>0</v>
      </c>
      <c r="L54" s="169">
        <v>0</v>
      </c>
      <c r="M54" s="170">
        <v>0</v>
      </c>
      <c r="N54" s="129"/>
      <c r="O54" s="171" t="s">
        <v>63</v>
      </c>
      <c r="P54" s="172">
        <f>P39+P46+P6+P8+1</f>
        <v>11873.8</v>
      </c>
      <c r="Q54" s="172">
        <f>Q39+Q46+Q6+Q8+2</f>
        <v>11332.6</v>
      </c>
      <c r="R54" s="172">
        <f>R39+R46+R6+R8</f>
        <v>12469.64</v>
      </c>
      <c r="S54" s="172">
        <f>S39+S46+S6+S8-2</f>
        <v>11615.697</v>
      </c>
      <c r="T54" s="172">
        <f t="shared" ref="T54:X54" si="37">T39+T46+T6+T8</f>
        <v>15937.815000000001</v>
      </c>
      <c r="U54" s="172">
        <f t="shared" si="37"/>
        <v>22127.057000000001</v>
      </c>
      <c r="V54" s="173">
        <f t="shared" si="37"/>
        <v>26186.538999999997</v>
      </c>
      <c r="W54" s="173">
        <f t="shared" si="37"/>
        <v>28954.414999999997</v>
      </c>
      <c r="X54" s="174">
        <f t="shared" si="37"/>
        <v>31603.727000000003</v>
      </c>
      <c r="Y54" s="175">
        <f>Y39+Y46+Y6+Y8</f>
        <v>30558.938999999995</v>
      </c>
      <c r="Z54" s="239"/>
    </row>
    <row r="55" spans="2:28" ht="16.2" thickBot="1">
      <c r="B55" s="68" t="s">
        <v>68</v>
      </c>
      <c r="C55" s="39">
        <f t="shared" ref="C55:L56" si="38">P32</f>
        <v>692</v>
      </c>
      <c r="D55" s="39">
        <f t="shared" si="38"/>
        <v>772</v>
      </c>
      <c r="E55" s="39">
        <f t="shared" si="38"/>
        <v>636</v>
      </c>
      <c r="F55" s="39">
        <f t="shared" si="38"/>
        <v>458</v>
      </c>
      <c r="G55" s="39">
        <f t="shared" si="38"/>
        <v>1011</v>
      </c>
      <c r="H55" s="169">
        <f t="shared" si="38"/>
        <v>1074.5630000000001</v>
      </c>
      <c r="I55" s="39">
        <f t="shared" si="38"/>
        <v>985.81</v>
      </c>
      <c r="J55" s="39">
        <f t="shared" si="38"/>
        <v>1684.1579999999999</v>
      </c>
      <c r="K55" s="39">
        <f t="shared" si="38"/>
        <v>1259.191</v>
      </c>
      <c r="L55" s="169">
        <f t="shared" si="38"/>
        <v>1423.6959999999999</v>
      </c>
      <c r="M55" s="170">
        <v>0</v>
      </c>
      <c r="N55" s="129"/>
      <c r="O55" s="176"/>
      <c r="P55" s="177"/>
      <c r="Q55" s="177"/>
      <c r="R55" s="177"/>
      <c r="S55" s="177"/>
      <c r="T55" s="178"/>
      <c r="U55" s="179"/>
      <c r="V55" s="7"/>
      <c r="W55" s="7"/>
      <c r="X55" s="7"/>
      <c r="Y55" s="7"/>
      <c r="Z55" s="246"/>
    </row>
    <row r="56" spans="2:28" ht="16.2" thickBot="1">
      <c r="B56" s="180" t="s">
        <v>96</v>
      </c>
      <c r="C56" s="181">
        <f t="shared" si="38"/>
        <v>44</v>
      </c>
      <c r="D56" s="181">
        <f t="shared" si="38"/>
        <v>30</v>
      </c>
      <c r="E56" s="181">
        <f t="shared" si="38"/>
        <v>244</v>
      </c>
      <c r="F56" s="181">
        <f t="shared" si="38"/>
        <v>35</v>
      </c>
      <c r="G56" s="181">
        <f t="shared" si="38"/>
        <v>313</v>
      </c>
      <c r="H56" s="182">
        <f t="shared" si="38"/>
        <v>476.267</v>
      </c>
      <c r="I56" s="181">
        <f t="shared" si="38"/>
        <v>462.38</v>
      </c>
      <c r="J56" s="39">
        <f t="shared" si="38"/>
        <v>442.9</v>
      </c>
      <c r="K56" s="39">
        <f t="shared" si="38"/>
        <v>552.51400000000001</v>
      </c>
      <c r="L56" s="169">
        <f t="shared" si="38"/>
        <v>613.72400000000005</v>
      </c>
      <c r="M56" s="170">
        <v>0</v>
      </c>
      <c r="N56" s="129"/>
      <c r="O56" s="228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30"/>
    </row>
    <row r="57" spans="2:28" ht="16.2" thickBot="1">
      <c r="B57" s="183" t="s">
        <v>20</v>
      </c>
      <c r="C57" s="173">
        <f>C53+C54-C55</f>
        <v>13704</v>
      </c>
      <c r="D57" s="173">
        <f t="shared" ref="D57:H57" si="39">D53+D54-D55</f>
        <v>13831.36</v>
      </c>
      <c r="E57" s="173">
        <f t="shared" si="39"/>
        <v>27703.519999999997</v>
      </c>
      <c r="F57" s="173">
        <f t="shared" si="39"/>
        <v>9621.6549999999988</v>
      </c>
      <c r="G57" s="173">
        <f t="shared" si="39"/>
        <v>34648.879999999997</v>
      </c>
      <c r="H57" s="175">
        <f t="shared" si="39"/>
        <v>72072.437000000005</v>
      </c>
      <c r="I57" s="173">
        <f>I53+I54-I55-I56</f>
        <v>61188.787353600004</v>
      </c>
      <c r="J57" s="173">
        <f>J53+J54-J55-J56</f>
        <v>95790.173977600018</v>
      </c>
      <c r="K57" s="184">
        <f>K53+K54-K55-K56</f>
        <v>100131.0336048</v>
      </c>
      <c r="L57" s="184">
        <f>L53+L54-L55-L56</f>
        <v>56433.523292800004</v>
      </c>
      <c r="M57" s="185">
        <v>0</v>
      </c>
      <c r="N57" s="129"/>
      <c r="O57" s="225" t="s">
        <v>65</v>
      </c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7"/>
    </row>
    <row r="58" spans="2:28" ht="16.2" thickBot="1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186"/>
      <c r="O58" s="15" t="s">
        <v>67</v>
      </c>
      <c r="P58" s="16" t="s">
        <v>3</v>
      </c>
      <c r="Q58" s="16" t="s">
        <v>4</v>
      </c>
      <c r="R58" s="16" t="s">
        <v>5</v>
      </c>
      <c r="S58" s="16" t="s">
        <v>6</v>
      </c>
      <c r="T58" s="17" t="s">
        <v>7</v>
      </c>
      <c r="U58" s="16" t="s">
        <v>99</v>
      </c>
      <c r="V58" s="16" t="s">
        <v>103</v>
      </c>
      <c r="W58" s="16" t="s">
        <v>118</v>
      </c>
      <c r="X58" s="13" t="s">
        <v>124</v>
      </c>
      <c r="Y58" s="17" t="s">
        <v>126</v>
      </c>
      <c r="Z58" s="17" t="s">
        <v>134</v>
      </c>
    </row>
    <row r="59" spans="2:28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179"/>
      <c r="O59" s="208" t="s">
        <v>69</v>
      </c>
      <c r="P59" s="209">
        <v>80</v>
      </c>
      <c r="Q59" s="210">
        <v>80.400000000000006</v>
      </c>
      <c r="R59" s="210">
        <v>155.19999999999999</v>
      </c>
      <c r="S59" s="210">
        <v>55.05</v>
      </c>
      <c r="T59" s="211">
        <v>194.65</v>
      </c>
      <c r="U59" s="212">
        <v>398.2</v>
      </c>
      <c r="V59" s="212">
        <v>340.95</v>
      </c>
      <c r="W59" s="187">
        <v>532.70000000000005</v>
      </c>
      <c r="X59" s="187">
        <v>554.6</v>
      </c>
      <c r="Y59" s="211">
        <v>318.10000000000002</v>
      </c>
      <c r="Z59" s="32">
        <v>351.15</v>
      </c>
      <c r="AB59" s="11">
        <v>0.28999999999999998</v>
      </c>
    </row>
    <row r="60" spans="2:28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129"/>
      <c r="O60" s="38" t="s">
        <v>70</v>
      </c>
      <c r="P60" s="188">
        <f t="shared" ref="P60:Y60" si="40">C32</f>
        <v>2.4900000000000002</v>
      </c>
      <c r="Q60" s="188">
        <f t="shared" si="40"/>
        <v>2.1800000000000002</v>
      </c>
      <c r="R60" s="188">
        <f t="shared" si="40"/>
        <v>3.74</v>
      </c>
      <c r="S60" s="188">
        <f t="shared" si="40"/>
        <v>3.85</v>
      </c>
      <c r="T60" s="189">
        <f t="shared" si="40"/>
        <v>4.42</v>
      </c>
      <c r="U60" s="190">
        <f t="shared" si="40"/>
        <v>8.18</v>
      </c>
      <c r="V60" s="190">
        <f t="shared" si="40"/>
        <v>13.05</v>
      </c>
      <c r="W60" s="190">
        <f t="shared" si="40"/>
        <v>15.42</v>
      </c>
      <c r="X60" s="190">
        <f t="shared" si="40"/>
        <v>11.91</v>
      </c>
      <c r="Y60" s="189">
        <f t="shared" si="40"/>
        <v>1.3</v>
      </c>
      <c r="Z60" s="231">
        <f>M32</f>
        <v>0.63</v>
      </c>
      <c r="AA60" s="232">
        <f>M32+L32-0.29</f>
        <v>1.6400000000000001</v>
      </c>
    </row>
    <row r="61" spans="2:28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129"/>
      <c r="O61" s="191" t="s">
        <v>71</v>
      </c>
      <c r="P61" s="192">
        <f t="shared" ref="P61:Z61" si="41">P6/C52</f>
        <v>39.55406911928651</v>
      </c>
      <c r="Q61" s="192">
        <f t="shared" si="41"/>
        <v>40.138197899391926</v>
      </c>
      <c r="R61" s="192">
        <f t="shared" si="41"/>
        <v>40.799561883899237</v>
      </c>
      <c r="S61" s="192">
        <f t="shared" si="41"/>
        <v>39.2790824685964</v>
      </c>
      <c r="T61" s="192">
        <f t="shared" si="41"/>
        <v>43.766375545851531</v>
      </c>
      <c r="U61" s="192">
        <f t="shared" si="41"/>
        <v>49.875735294117646</v>
      </c>
      <c r="V61" s="192">
        <f t="shared" si="41"/>
        <v>58.676004618680189</v>
      </c>
      <c r="W61" s="193">
        <f t="shared" si="41"/>
        <v>69.335100882479054</v>
      </c>
      <c r="X61" s="193">
        <f t="shared" si="41"/>
        <v>75.172400128547977</v>
      </c>
      <c r="Y61" s="194">
        <f t="shared" si="41"/>
        <v>71.220478054315691</v>
      </c>
      <c r="Z61" s="213" t="s">
        <v>13</v>
      </c>
    </row>
    <row r="62" spans="2:28">
      <c r="B62" s="12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129"/>
      <c r="O62" s="38" t="s">
        <v>72</v>
      </c>
      <c r="P62" s="190">
        <f>P59/P60</f>
        <v>32.128514056224894</v>
      </c>
      <c r="Q62" s="190">
        <f t="shared" ref="Q62:T62" si="42">Q59/Q60</f>
        <v>36.88073394495413</v>
      </c>
      <c r="R62" s="190">
        <f t="shared" si="42"/>
        <v>41.497326203208551</v>
      </c>
      <c r="S62" s="190">
        <f t="shared" si="42"/>
        <v>14.298701298701298</v>
      </c>
      <c r="T62" s="190">
        <f t="shared" si="42"/>
        <v>44.03846153846154</v>
      </c>
      <c r="U62" s="190">
        <v>34.799999999999997</v>
      </c>
      <c r="V62" s="190">
        <f>V59/I32</f>
        <v>26.126436781609193</v>
      </c>
      <c r="W62" s="190">
        <f>W59/W60</f>
        <v>34.546044098573283</v>
      </c>
      <c r="X62" s="190">
        <f>X59/X60</f>
        <v>46.565910999160373</v>
      </c>
      <c r="Y62" s="195">
        <f>Y59/Y60</f>
        <v>244.69230769230771</v>
      </c>
      <c r="Z62" s="214">
        <f>Z59/AA60</f>
        <v>214.11585365853657</v>
      </c>
    </row>
    <row r="63" spans="2:28">
      <c r="B63" s="12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129"/>
      <c r="O63" s="38" t="s">
        <v>73</v>
      </c>
      <c r="P63" s="190">
        <f>P59/P61</f>
        <v>2.0225479143179257</v>
      </c>
      <c r="Q63" s="190">
        <f t="shared" ref="Q63:T63" si="43">Q59/Q61</f>
        <v>2.0030794656383422</v>
      </c>
      <c r="R63" s="190">
        <f t="shared" si="43"/>
        <v>3.8039624161073817</v>
      </c>
      <c r="S63" s="190">
        <f t="shared" si="43"/>
        <v>1.4015093159065626</v>
      </c>
      <c r="T63" s="190">
        <f t="shared" si="43"/>
        <v>4.4474781741082561</v>
      </c>
      <c r="U63" s="190">
        <v>6.31</v>
      </c>
      <c r="V63" s="190">
        <f>V59/V61</f>
        <v>5.8107228366304717</v>
      </c>
      <c r="W63" s="190">
        <f>W59/W61</f>
        <v>7.6829772109643395</v>
      </c>
      <c r="X63" s="190">
        <f>X59/X61</f>
        <v>7.3777077631100063</v>
      </c>
      <c r="Y63" s="195">
        <f>Y59/Y61</f>
        <v>4.466412030503415</v>
      </c>
      <c r="Z63" s="214" t="s">
        <v>13</v>
      </c>
    </row>
    <row r="64" spans="2:28">
      <c r="B64" s="129"/>
      <c r="C64" s="7"/>
      <c r="D64" s="7"/>
      <c r="E64" s="7"/>
      <c r="F64" s="7"/>
      <c r="G64" s="7"/>
      <c r="H64" s="7"/>
      <c r="I64" s="7"/>
      <c r="K64" s="7"/>
      <c r="L64" s="7"/>
      <c r="M64" s="7"/>
      <c r="N64" s="129"/>
      <c r="O64" s="38" t="s">
        <v>74</v>
      </c>
      <c r="P64" s="190">
        <f t="shared" ref="P64:U64" si="44">C57/C15</f>
        <v>19.94759825327511</v>
      </c>
      <c r="Q64" s="190">
        <f t="shared" si="44"/>
        <v>26.857009708737866</v>
      </c>
      <c r="R64" s="190">
        <f t="shared" si="44"/>
        <v>34.935081967213108</v>
      </c>
      <c r="S64" s="190">
        <f t="shared" si="44"/>
        <v>12.335455128205126</v>
      </c>
      <c r="T64" s="190">
        <f t="shared" si="44"/>
        <v>30.826405693950175</v>
      </c>
      <c r="U64" s="190">
        <f t="shared" si="44"/>
        <v>33.376140131518049</v>
      </c>
      <c r="V64" s="190">
        <f>V9/I15</f>
        <v>19.24109145708794</v>
      </c>
      <c r="W64" s="190">
        <f>W9/J15</f>
        <v>24.700513962018153</v>
      </c>
      <c r="X64" s="190">
        <f>X9/K15</f>
        <v>30.825511674137726</v>
      </c>
      <c r="Y64" s="189">
        <f>Y9/L15</f>
        <v>37.182725108665203</v>
      </c>
      <c r="Z64" s="215" t="s">
        <v>13</v>
      </c>
    </row>
    <row r="65" spans="2:26">
      <c r="B65" s="7"/>
      <c r="C65" s="7"/>
      <c r="D65" s="7"/>
      <c r="E65" s="7"/>
      <c r="F65" s="7"/>
      <c r="G65" s="7"/>
      <c r="H65" s="7"/>
      <c r="I65" s="7"/>
      <c r="K65" s="7"/>
      <c r="L65" s="7"/>
      <c r="M65" s="7"/>
      <c r="N65" s="129"/>
      <c r="O65" s="38" t="s">
        <v>75</v>
      </c>
      <c r="P65" s="190">
        <f t="shared" ref="P65:Z65" si="45">C5/(SUM(P13:P15))</f>
        <v>4.0350654837346855</v>
      </c>
      <c r="Q65" s="190">
        <f t="shared" si="45"/>
        <v>3.885149347917543</v>
      </c>
      <c r="R65" s="190">
        <f t="shared" si="45"/>
        <v>4.9895059029296025</v>
      </c>
      <c r="S65" s="190">
        <f t="shared" si="45"/>
        <v>4.7415053763440858</v>
      </c>
      <c r="T65" s="190">
        <f t="shared" si="45"/>
        <v>5.9170068027210885</v>
      </c>
      <c r="U65" s="190">
        <f t="shared" si="45"/>
        <v>10.4778946558892</v>
      </c>
      <c r="V65" s="190">
        <f t="shared" si="45"/>
        <v>13.719069228465996</v>
      </c>
      <c r="W65" s="190">
        <f t="shared" si="45"/>
        <v>8.4464082377299938</v>
      </c>
      <c r="X65" s="190">
        <f t="shared" si="45"/>
        <v>11.372977341717565</v>
      </c>
      <c r="Y65" s="189">
        <f t="shared" si="45"/>
        <v>10.564046232751089</v>
      </c>
      <c r="Z65" s="215" t="s">
        <v>13</v>
      </c>
    </row>
    <row r="66" spans="2:26">
      <c r="B66" s="7"/>
      <c r="C66" s="7"/>
      <c r="D66" s="7"/>
      <c r="E66" s="7"/>
      <c r="F66" s="7"/>
      <c r="G66" s="7"/>
      <c r="H66" s="7"/>
      <c r="I66" s="7"/>
      <c r="K66" s="7"/>
      <c r="L66" s="7"/>
      <c r="M66" s="7"/>
      <c r="N66" s="129"/>
      <c r="O66" s="191" t="s">
        <v>76</v>
      </c>
      <c r="P66" s="196">
        <f t="shared" ref="P66:Z66" si="46">C26/P6</f>
        <v>6.2852311161217589E-2</v>
      </c>
      <c r="Q66" s="196">
        <f t="shared" si="46"/>
        <v>5.4400220355322958E-2</v>
      </c>
      <c r="R66" s="196">
        <f t="shared" si="46"/>
        <v>9.1543624161073825E-2</v>
      </c>
      <c r="S66" s="196">
        <f t="shared" si="46"/>
        <v>9.7886540600667413E-2</v>
      </c>
      <c r="T66" s="196">
        <f t="shared" si="46"/>
        <v>0.10102269892741332</v>
      </c>
      <c r="U66" s="196">
        <f t="shared" si="46"/>
        <v>0.16402420612884855</v>
      </c>
      <c r="V66" s="196">
        <f t="shared" si="46"/>
        <v>0.22248609635838271</v>
      </c>
      <c r="W66" s="196">
        <f t="shared" si="46"/>
        <v>0.22235982191497827</v>
      </c>
      <c r="X66" s="196">
        <f t="shared" si="46"/>
        <v>0.15844421248703919</v>
      </c>
      <c r="Y66" s="197">
        <f t="shared" si="46"/>
        <v>1.8215746449385797E-2</v>
      </c>
      <c r="Z66" s="216" t="s">
        <v>13</v>
      </c>
    </row>
    <row r="67" spans="2:26">
      <c r="B67" s="7"/>
      <c r="C67" s="7"/>
      <c r="D67" s="7"/>
      <c r="E67" s="7"/>
      <c r="F67" s="7"/>
      <c r="G67" s="7"/>
      <c r="H67" s="7"/>
      <c r="I67" s="7"/>
      <c r="K67" s="7"/>
      <c r="L67" s="7"/>
      <c r="M67" s="7"/>
      <c r="N67" s="129"/>
      <c r="O67" s="191" t="s">
        <v>77</v>
      </c>
      <c r="P67" s="196">
        <f t="shared" ref="P67:Z67" si="47">(C15-C19)/P52</f>
        <v>6.420501515569027E-2</v>
      </c>
      <c r="Q67" s="196">
        <f t="shared" si="47"/>
        <v>3.6882487548795265E-2</v>
      </c>
      <c r="R67" s="196">
        <f t="shared" si="47"/>
        <v>7.4054621848739496E-2</v>
      </c>
      <c r="S67" s="196">
        <f t="shared" si="47"/>
        <v>7.4724105836989768E-2</v>
      </c>
      <c r="T67" s="196">
        <f t="shared" si="47"/>
        <v>0.10886075949367088</v>
      </c>
      <c r="U67" s="196">
        <f t="shared" si="47"/>
        <v>0.20389249695859105</v>
      </c>
      <c r="V67" s="196">
        <f t="shared" si="47"/>
        <v>0.25737966174400062</v>
      </c>
      <c r="W67" s="196">
        <f t="shared" si="47"/>
        <v>0.23932685581780647</v>
      </c>
      <c r="X67" s="196">
        <f t="shared" si="47"/>
        <v>0.15326430858542123</v>
      </c>
      <c r="Y67" s="197">
        <f t="shared" si="47"/>
        <v>3.2158552261770897E-2</v>
      </c>
      <c r="Z67" s="216" t="s">
        <v>13</v>
      </c>
    </row>
    <row r="68" spans="2:26">
      <c r="B68" s="7"/>
      <c r="C68" s="7"/>
      <c r="D68" s="7"/>
      <c r="E68" s="7"/>
      <c r="F68" s="7"/>
      <c r="G68" s="7"/>
      <c r="H68" s="7"/>
      <c r="I68" s="7"/>
      <c r="K68" s="7"/>
      <c r="L68" s="7"/>
      <c r="M68" s="7"/>
      <c r="N68" s="129"/>
      <c r="O68" s="38" t="s">
        <v>78</v>
      </c>
      <c r="P68" s="190">
        <f t="shared" ref="P68:W68" si="48">C54/P6</f>
        <v>6.2006764374295375E-3</v>
      </c>
      <c r="Q68" s="190">
        <f t="shared" si="48"/>
        <v>8.1256025340862136E-3</v>
      </c>
      <c r="R68" s="190">
        <f t="shared" si="48"/>
        <v>0</v>
      </c>
      <c r="S68" s="190">
        <f t="shared" si="48"/>
        <v>0</v>
      </c>
      <c r="T68" s="190">
        <f t="shared" si="48"/>
        <v>0</v>
      </c>
      <c r="U68" s="190">
        <f t="shared" si="48"/>
        <v>0</v>
      </c>
      <c r="V68" s="190">
        <f t="shared" si="48"/>
        <v>0</v>
      </c>
      <c r="W68" s="190">
        <f t="shared" si="48"/>
        <v>0</v>
      </c>
      <c r="X68" s="190">
        <f>L54/X6</f>
        <v>0</v>
      </c>
      <c r="Y68" s="189">
        <f>N55/Y6</f>
        <v>0</v>
      </c>
      <c r="Z68" s="215" t="s">
        <v>13</v>
      </c>
    </row>
    <row r="69" spans="2:26">
      <c r="B69" s="7"/>
      <c r="C69" s="8"/>
      <c r="D69" s="8"/>
      <c r="E69" s="7"/>
      <c r="F69" s="7"/>
      <c r="G69" s="7"/>
      <c r="H69" s="7"/>
      <c r="I69" s="7"/>
      <c r="K69" s="7"/>
      <c r="L69" s="7"/>
      <c r="M69" s="7"/>
      <c r="N69" s="129"/>
      <c r="O69" s="191" t="s">
        <v>79</v>
      </c>
      <c r="P69" s="193">
        <f t="shared" ref="P69:Z69" si="49">(C54-C55-C56)/P6</f>
        <v>-9.7519729425028179E-2</v>
      </c>
      <c r="Q69" s="193">
        <f t="shared" si="49"/>
        <v>-0.10232750309874673</v>
      </c>
      <c r="R69" s="193">
        <f t="shared" si="49"/>
        <v>-0.11812080536912752</v>
      </c>
      <c r="S69" s="193">
        <f t="shared" si="49"/>
        <v>-6.8548387096774188E-2</v>
      </c>
      <c r="T69" s="193">
        <f t="shared" si="49"/>
        <v>-0.16512846096283362</v>
      </c>
      <c r="U69" s="193">
        <f t="shared" si="49"/>
        <v>-0.16935663088602013</v>
      </c>
      <c r="V69" s="193">
        <f t="shared" si="49"/>
        <v>-0.1343460534066821</v>
      </c>
      <c r="W69" s="193">
        <f t="shared" si="49"/>
        <v>-0.16689746850827938</v>
      </c>
      <c r="X69" s="193">
        <f t="shared" si="49"/>
        <v>-0.13111507720801863</v>
      </c>
      <c r="Y69" s="194">
        <f t="shared" si="49"/>
        <v>-0.15563212574866767</v>
      </c>
      <c r="Z69" s="213" t="s">
        <v>13</v>
      </c>
    </row>
    <row r="70" spans="2:26">
      <c r="B70" s="7"/>
      <c r="C70" s="198"/>
      <c r="D70" s="8"/>
      <c r="E70" s="7"/>
      <c r="F70" s="7"/>
      <c r="G70" s="7"/>
      <c r="H70" s="7"/>
      <c r="I70" s="7"/>
      <c r="K70" s="7"/>
      <c r="L70" s="7"/>
      <c r="M70" s="7"/>
      <c r="N70" s="129"/>
      <c r="O70" s="38" t="s">
        <v>80</v>
      </c>
      <c r="P70" s="199">
        <v>118</v>
      </c>
      <c r="Q70" s="199">
        <v>105</v>
      </c>
      <c r="R70" s="199">
        <v>98</v>
      </c>
      <c r="S70" s="199">
        <v>109</v>
      </c>
      <c r="T70" s="200">
        <v>127</v>
      </c>
      <c r="U70" s="199">
        <v>80</v>
      </c>
      <c r="V70" s="199">
        <f>(AVERAGE(U31:V31)/I5*365)</f>
        <v>67.589836997174345</v>
      </c>
      <c r="W70" s="199">
        <f>(AVERAGE(V31:W31)/J5*365)</f>
        <v>75.713931907489012</v>
      </c>
      <c r="X70" s="199">
        <f>(AVERAGE(W31:X31)/K5*365)</f>
        <v>67.798389454140349</v>
      </c>
      <c r="Y70" s="200">
        <f>(AVERAGE(X31:Y31)/L5*365)</f>
        <v>64.215167698123167</v>
      </c>
      <c r="Z70" s="217" t="s">
        <v>13</v>
      </c>
    </row>
    <row r="71" spans="2:26">
      <c r="B71" s="7"/>
      <c r="C71" s="129"/>
      <c r="D71" s="7"/>
      <c r="E71" s="7"/>
      <c r="F71" s="7"/>
      <c r="G71" s="7"/>
      <c r="H71" s="7"/>
      <c r="I71" s="7"/>
      <c r="K71" s="7"/>
      <c r="L71" s="7"/>
      <c r="M71" s="7"/>
      <c r="N71" s="129"/>
      <c r="O71" s="38" t="s">
        <v>81</v>
      </c>
      <c r="P71" s="199">
        <v>82</v>
      </c>
      <c r="Q71" s="199">
        <v>63</v>
      </c>
      <c r="R71" s="199">
        <v>76</v>
      </c>
      <c r="S71" s="199">
        <v>73</v>
      </c>
      <c r="T71" s="200">
        <v>64</v>
      </c>
      <c r="U71" s="199">
        <f t="shared" ref="U71:Z71" si="50">AVERAGE(T42:U42)/SUM(H9:H11)*365</f>
        <v>96.210635597592429</v>
      </c>
      <c r="V71" s="199">
        <f t="shared" si="50"/>
        <v>77.081289704215664</v>
      </c>
      <c r="W71" s="199">
        <f t="shared" si="50"/>
        <v>93.176647441159943</v>
      </c>
      <c r="X71" s="199">
        <f t="shared" si="50"/>
        <v>107.98728061417273</v>
      </c>
      <c r="Y71" s="200">
        <f t="shared" si="50"/>
        <v>120.35711735068963</v>
      </c>
      <c r="Z71" s="217" t="s">
        <v>13</v>
      </c>
    </row>
    <row r="72" spans="2:26">
      <c r="B72" s="129"/>
      <c r="C72" s="129"/>
      <c r="D72" s="129"/>
      <c r="E72" s="129"/>
      <c r="F72" s="129"/>
      <c r="G72" s="129"/>
      <c r="H72" s="129"/>
      <c r="I72" s="129"/>
      <c r="K72" s="129"/>
      <c r="L72" s="129"/>
      <c r="M72" s="129"/>
      <c r="N72" s="129"/>
      <c r="O72" s="38" t="s">
        <v>82</v>
      </c>
      <c r="P72" s="199">
        <v>167</v>
      </c>
      <c r="Q72" s="199">
        <v>137</v>
      </c>
      <c r="R72" s="199">
        <v>140</v>
      </c>
      <c r="S72" s="199">
        <v>124</v>
      </c>
      <c r="T72" s="200">
        <v>169</v>
      </c>
      <c r="U72" s="199">
        <f t="shared" ref="U72:Z72" si="51">(AVERAGE(T28:U28)/SUM(H9:H11)*365)</f>
        <v>59.495954084264824</v>
      </c>
      <c r="V72" s="199">
        <f t="shared" si="51"/>
        <v>56.260745036760106</v>
      </c>
      <c r="W72" s="199">
        <f t="shared" si="51"/>
        <v>51.572856614564408</v>
      </c>
      <c r="X72" s="199">
        <f t="shared" si="51"/>
        <v>52.299632708012659</v>
      </c>
      <c r="Y72" s="200">
        <f t="shared" si="51"/>
        <v>58.513674091141795</v>
      </c>
      <c r="Z72" s="217" t="s">
        <v>13</v>
      </c>
    </row>
    <row r="73" spans="2:26" ht="16.2" thickBot="1"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201" t="s">
        <v>83</v>
      </c>
      <c r="P73" s="202">
        <f t="shared" ref="P73:Q73" si="52">P70-P71+P72</f>
        <v>203</v>
      </c>
      <c r="Q73" s="202">
        <f t="shared" si="52"/>
        <v>179</v>
      </c>
      <c r="R73" s="202">
        <v>120</v>
      </c>
      <c r="S73" s="202">
        <v>122</v>
      </c>
      <c r="T73" s="203">
        <v>131</v>
      </c>
      <c r="U73" s="202">
        <v>82</v>
      </c>
      <c r="V73" s="202">
        <f>(V27-V39)/I4*365</f>
        <v>70.499776221167735</v>
      </c>
      <c r="W73" s="202">
        <f>(W27-W39)/J4*365</f>
        <v>80.537215360428064</v>
      </c>
      <c r="X73" s="202">
        <f>(X27-X39)/K4*365</f>
        <v>93.303081198876512</v>
      </c>
      <c r="Y73" s="204">
        <f>(Y27-Y39)/L4*365</f>
        <v>86.258348162375171</v>
      </c>
      <c r="Z73" s="218" t="s">
        <v>13</v>
      </c>
    </row>
    <row r="74" spans="2:26">
      <c r="N74" s="129"/>
      <c r="T74" s="205"/>
      <c r="U74" s="205"/>
      <c r="Z74" s="206"/>
    </row>
    <row r="75" spans="2:26">
      <c r="N75" s="129"/>
      <c r="Y75" s="206">
        <f>(L15-L19)/L20</f>
        <v>2.2802143576179885</v>
      </c>
    </row>
    <row r="76" spans="2:26">
      <c r="N76" s="129"/>
    </row>
    <row r="77" spans="2:26">
      <c r="N77" s="129"/>
    </row>
    <row r="1048570" spans="11:13">
      <c r="K1048570" s="39">
        <v>0</v>
      </c>
      <c r="L1048570" s="39">
        <v>0</v>
      </c>
      <c r="M1048570" s="207"/>
    </row>
  </sheetData>
  <mergeCells count="5">
    <mergeCell ref="O57:Z57"/>
    <mergeCell ref="O56:Z56"/>
    <mergeCell ref="B1:Y1"/>
    <mergeCell ref="B2:M2"/>
    <mergeCell ref="B35:M35"/>
  </mergeCells>
  <phoneticPr fontId="4" type="noConversion"/>
  <pageMargins left="0.7" right="0.7" top="0.75" bottom="0.75" header="0.3" footer="0.3"/>
  <pageSetup paperSize="9" scale="10" orientation="portrait" r:id="rId1"/>
  <ignoredErrors>
    <ignoredError sqref="P65:T65 U65:W65 P46:V46 P27:W30 P32:W36 P31:V31 P38:W39 P37:V37 U71:X71 W70 V70 U69:Y69 U72:Y72 U70 X70:Y70 Y71" formulaRange="1"/>
    <ignoredError sqref="S5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D9" sqref="D9"/>
    </sheetView>
  </sheetViews>
  <sheetFormatPr defaultColWidth="8.796875" defaultRowHeight="15.6"/>
  <cols>
    <col min="1" max="1" width="20" bestFit="1" customWidth="1"/>
    <col min="6" max="6" width="7.59765625" bestFit="1" customWidth="1"/>
    <col min="8" max="8" width="18.09765625" bestFit="1" customWidth="1"/>
  </cols>
  <sheetData>
    <row r="1" spans="1:11">
      <c r="A1" t="s">
        <v>105</v>
      </c>
      <c r="B1" t="s">
        <v>106</v>
      </c>
      <c r="C1" t="s">
        <v>107</v>
      </c>
      <c r="D1" t="s">
        <v>108</v>
      </c>
      <c r="E1" t="s">
        <v>104</v>
      </c>
      <c r="F1" t="s">
        <v>109</v>
      </c>
      <c r="H1" t="s">
        <v>110</v>
      </c>
      <c r="I1">
        <v>411</v>
      </c>
      <c r="J1">
        <v>317</v>
      </c>
      <c r="K1" s="2">
        <f>I1/J1-1</f>
        <v>0.29652996845425861</v>
      </c>
    </row>
    <row r="2" spans="1:11">
      <c r="A2" t="s">
        <v>110</v>
      </c>
      <c r="B2">
        <v>216</v>
      </c>
      <c r="C2">
        <v>165</v>
      </c>
      <c r="D2" s="2">
        <f>B2/C2-1</f>
        <v>0.30909090909090908</v>
      </c>
      <c r="E2">
        <v>195</v>
      </c>
      <c r="F2" s="2">
        <f>B2/E2-1</f>
        <v>0.10769230769230775</v>
      </c>
      <c r="H2" t="s">
        <v>111</v>
      </c>
      <c r="I2">
        <v>197</v>
      </c>
      <c r="J2">
        <v>161</v>
      </c>
      <c r="K2" s="2">
        <f t="shared" ref="K2:K13" si="0">I2/J2-1</f>
        <v>0.22360248447204967</v>
      </c>
    </row>
    <row r="3" spans="1:11">
      <c r="A3" t="s">
        <v>111</v>
      </c>
      <c r="B3">
        <v>104</v>
      </c>
      <c r="C3">
        <v>82</v>
      </c>
      <c r="D3" s="2">
        <f t="shared" ref="D3:D14" si="1">B3/C3-1</f>
        <v>0.26829268292682928</v>
      </c>
      <c r="E3">
        <v>92</v>
      </c>
      <c r="F3" s="2">
        <f t="shared" ref="F3:F14" si="2">B3/E3-1</f>
        <v>0.13043478260869557</v>
      </c>
      <c r="H3" t="s">
        <v>21</v>
      </c>
      <c r="I3">
        <f>I10+I9+I7+I6-I5</f>
        <v>214</v>
      </c>
      <c r="J3">
        <v>156</v>
      </c>
      <c r="K3" s="2">
        <f t="shared" si="0"/>
        <v>0.37179487179487181</v>
      </c>
    </row>
    <row r="4" spans="1:11">
      <c r="A4" t="s">
        <v>21</v>
      </c>
      <c r="B4">
        <f>B11+B10+B8+B7-B6</f>
        <v>112</v>
      </c>
      <c r="C4">
        <v>83</v>
      </c>
      <c r="D4" s="2">
        <f t="shared" si="1"/>
        <v>0.34939759036144569</v>
      </c>
      <c r="E4">
        <v>103</v>
      </c>
      <c r="F4" s="2">
        <f t="shared" si="2"/>
        <v>8.737864077669899E-2</v>
      </c>
      <c r="H4" t="s">
        <v>112</v>
      </c>
      <c r="I4" s="3">
        <f>I3/I1</f>
        <v>0.52068126520681268</v>
      </c>
      <c r="J4" s="1">
        <v>0.49209999999999998</v>
      </c>
      <c r="K4" s="2">
        <f t="shared" si="0"/>
        <v>5.8080197534673195E-2</v>
      </c>
    </row>
    <row r="5" spans="1:11">
      <c r="A5" t="s">
        <v>112</v>
      </c>
      <c r="B5" s="3">
        <f>B4/B2</f>
        <v>0.51851851851851849</v>
      </c>
      <c r="C5" s="1">
        <v>0.503</v>
      </c>
      <c r="D5" s="2">
        <f t="shared" si="1"/>
        <v>3.0851925484132181E-2</v>
      </c>
      <c r="E5" s="1">
        <v>0.5282</v>
      </c>
      <c r="F5" s="2">
        <f t="shared" si="2"/>
        <v>-1.8329196292089178E-2</v>
      </c>
      <c r="H5" t="s">
        <v>27</v>
      </c>
      <c r="I5">
        <v>8</v>
      </c>
      <c r="J5">
        <v>2</v>
      </c>
      <c r="K5" s="2">
        <f t="shared" si="0"/>
        <v>3</v>
      </c>
    </row>
    <row r="6" spans="1:11">
      <c r="A6" t="s">
        <v>27</v>
      </c>
      <c r="B6">
        <v>4</v>
      </c>
      <c r="C6">
        <v>1</v>
      </c>
      <c r="D6" s="2">
        <f t="shared" si="1"/>
        <v>3</v>
      </c>
      <c r="E6">
        <v>3</v>
      </c>
      <c r="F6" s="2">
        <f t="shared" si="2"/>
        <v>0.33333333333333326</v>
      </c>
      <c r="H6" t="s">
        <v>25</v>
      </c>
      <c r="I6">
        <v>44</v>
      </c>
      <c r="J6">
        <v>86</v>
      </c>
      <c r="K6" s="2">
        <f t="shared" si="0"/>
        <v>-0.48837209302325579</v>
      </c>
    </row>
    <row r="7" spans="1:11">
      <c r="A7" t="s">
        <v>25</v>
      </c>
      <c r="B7">
        <v>25</v>
      </c>
      <c r="C7">
        <v>47</v>
      </c>
      <c r="D7" s="2">
        <f t="shared" si="1"/>
        <v>-0.46808510638297873</v>
      </c>
      <c r="E7" t="s">
        <v>113</v>
      </c>
      <c r="F7" s="2" t="e">
        <f t="shared" si="2"/>
        <v>#VALUE!</v>
      </c>
      <c r="H7" t="s">
        <v>26</v>
      </c>
      <c r="I7">
        <v>6</v>
      </c>
      <c r="J7">
        <v>2</v>
      </c>
      <c r="K7" s="2">
        <f t="shared" si="0"/>
        <v>2</v>
      </c>
    </row>
    <row r="8" spans="1:11">
      <c r="A8" t="s">
        <v>26</v>
      </c>
      <c r="B8">
        <v>4</v>
      </c>
      <c r="C8">
        <v>1</v>
      </c>
      <c r="D8" s="2">
        <f t="shared" si="1"/>
        <v>3</v>
      </c>
      <c r="E8">
        <v>2</v>
      </c>
      <c r="F8" s="2">
        <f t="shared" si="2"/>
        <v>1</v>
      </c>
      <c r="H8" t="s">
        <v>28</v>
      </c>
      <c r="I8">
        <v>172</v>
      </c>
      <c r="J8">
        <v>70</v>
      </c>
      <c r="K8" s="2">
        <f t="shared" si="0"/>
        <v>1.4571428571428573</v>
      </c>
    </row>
    <row r="9" spans="1:11">
      <c r="A9" t="s">
        <v>28</v>
      </c>
      <c r="B9">
        <v>87</v>
      </c>
      <c r="C9">
        <v>36</v>
      </c>
      <c r="D9" s="2">
        <f t="shared" si="1"/>
        <v>1.4166666666666665</v>
      </c>
      <c r="E9">
        <v>85</v>
      </c>
      <c r="F9" s="2">
        <f t="shared" si="2"/>
        <v>2.3529411764705799E-2</v>
      </c>
      <c r="H9" t="s">
        <v>29</v>
      </c>
      <c r="I9">
        <v>44</v>
      </c>
      <c r="J9">
        <v>18</v>
      </c>
      <c r="K9" s="2">
        <f t="shared" si="0"/>
        <v>1.4444444444444446</v>
      </c>
    </row>
    <row r="10" spans="1:11">
      <c r="A10" t="s">
        <v>29</v>
      </c>
      <c r="B10">
        <v>29</v>
      </c>
      <c r="C10">
        <v>10</v>
      </c>
      <c r="D10" s="2">
        <f t="shared" si="1"/>
        <v>1.9</v>
      </c>
      <c r="E10">
        <v>15</v>
      </c>
      <c r="F10" s="2">
        <f t="shared" si="2"/>
        <v>0.93333333333333335</v>
      </c>
      <c r="H10" t="s">
        <v>32</v>
      </c>
      <c r="I10">
        <v>128</v>
      </c>
      <c r="J10">
        <v>52</v>
      </c>
      <c r="K10" s="2">
        <f t="shared" si="0"/>
        <v>1.4615384615384617</v>
      </c>
    </row>
    <row r="11" spans="1:11">
      <c r="A11" t="s">
        <v>32</v>
      </c>
      <c r="B11">
        <v>58</v>
      </c>
      <c r="C11">
        <v>26</v>
      </c>
      <c r="D11" s="2">
        <f t="shared" si="1"/>
        <v>1.2307692307692308</v>
      </c>
      <c r="E11">
        <v>70</v>
      </c>
      <c r="F11" s="2">
        <f t="shared" si="2"/>
        <v>-0.17142857142857137</v>
      </c>
      <c r="H11" t="s">
        <v>114</v>
      </c>
      <c r="I11" s="3">
        <f>I10/I1</f>
        <v>0.31143552311435524</v>
      </c>
      <c r="J11" s="1">
        <v>0.16400000000000001</v>
      </c>
      <c r="K11" s="2">
        <f t="shared" si="0"/>
        <v>0.89899709216070267</v>
      </c>
    </row>
    <row r="12" spans="1:11">
      <c r="A12" t="s">
        <v>114</v>
      </c>
      <c r="B12" s="3">
        <f>B11/B2</f>
        <v>0.26851851851851855</v>
      </c>
      <c r="C12" s="1">
        <v>0.15759999999999999</v>
      </c>
      <c r="D12" s="2">
        <f t="shared" si="1"/>
        <v>0.70379770633577765</v>
      </c>
      <c r="E12" s="1">
        <v>0.35899999999999999</v>
      </c>
      <c r="F12" s="2">
        <f t="shared" si="2"/>
        <v>-0.25203755287320739</v>
      </c>
      <c r="H12" t="s">
        <v>115</v>
      </c>
      <c r="I12">
        <v>8.82</v>
      </c>
      <c r="J12">
        <v>3.58</v>
      </c>
      <c r="K12" s="2">
        <f t="shared" si="0"/>
        <v>1.4636871508379889</v>
      </c>
    </row>
    <row r="13" spans="1:11">
      <c r="A13" t="s">
        <v>115</v>
      </c>
      <c r="B13">
        <v>4</v>
      </c>
      <c r="C13">
        <v>1.83</v>
      </c>
      <c r="D13" s="2">
        <f t="shared" si="1"/>
        <v>1.1857923497267757</v>
      </c>
      <c r="E13">
        <v>4.82</v>
      </c>
      <c r="F13" s="2">
        <f t="shared" si="2"/>
        <v>-0.17012448132780089</v>
      </c>
      <c r="H13" t="s">
        <v>116</v>
      </c>
      <c r="I13">
        <v>8.68</v>
      </c>
      <c r="J13">
        <v>3.53</v>
      </c>
      <c r="K13" s="2">
        <f t="shared" si="0"/>
        <v>1.4589235127478752</v>
      </c>
    </row>
    <row r="14" spans="1:11">
      <c r="A14" t="s">
        <v>116</v>
      </c>
      <c r="B14">
        <v>3.94</v>
      </c>
      <c r="C14">
        <v>1.81</v>
      </c>
      <c r="D14" s="2">
        <f t="shared" si="1"/>
        <v>1.1767955801104972</v>
      </c>
      <c r="E14">
        <v>4.76</v>
      </c>
      <c r="F14" s="2">
        <f t="shared" si="2"/>
        <v>-0.17226890756302515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Kewal Raithatha</dc:creator>
  <cp:lastModifiedBy>DELL</cp:lastModifiedBy>
  <cp:lastPrinted>2024-09-06T09:48:50Z</cp:lastPrinted>
  <dcterms:created xsi:type="dcterms:W3CDTF">2022-02-19T13:31:04Z</dcterms:created>
  <dcterms:modified xsi:type="dcterms:W3CDTF">2026-08-20T06:14:43Z</dcterms:modified>
</cp:coreProperties>
</file>