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BCEAF86-2EB9-41B5-832D-8822BCE156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mmary Sheet" sheetId="3" r:id="rId1"/>
    <sheet name="peer sheet" sheetId="2" state="hidden" r:id="rId2"/>
  </sheets>
  <definedNames>
    <definedName name="_xlnm.Print_Area" localSheetId="0">'Summary Sheet'!#REF!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2" i="3" l="1"/>
  <c r="G51" i="3"/>
  <c r="H52" i="3"/>
  <c r="H51" i="3"/>
  <c r="P64" i="3"/>
  <c r="H21" i="3"/>
  <c r="P61" i="3"/>
  <c r="H28" i="3"/>
  <c r="H25" i="3"/>
  <c r="H8" i="3"/>
  <c r="H14" i="3" s="1"/>
  <c r="G35" i="3"/>
  <c r="G34" i="3"/>
  <c r="G7" i="3"/>
  <c r="G6" i="3"/>
  <c r="O74" i="3"/>
  <c r="O72" i="3"/>
  <c r="N61" i="3"/>
  <c r="N42" i="3"/>
  <c r="N39" i="3" s="1"/>
  <c r="O42" i="3"/>
  <c r="O39" i="3" s="1"/>
  <c r="M55" i="3"/>
  <c r="O50" i="3"/>
  <c r="G53" i="3"/>
  <c r="O61" i="3"/>
  <c r="O64" i="3" s="1"/>
  <c r="F46" i="3"/>
  <c r="G46" i="3"/>
  <c r="G45" i="3"/>
  <c r="G47" i="3" s="1"/>
  <c r="G42" i="3"/>
  <c r="F42" i="3"/>
  <c r="F7" i="3"/>
  <c r="F35" i="3"/>
  <c r="F53" i="3"/>
  <c r="M10" i="3"/>
  <c r="N10" i="3"/>
  <c r="O10" i="3"/>
  <c r="L10" i="3"/>
  <c r="M9" i="3"/>
  <c r="N9" i="3"/>
  <c r="O9" i="3"/>
  <c r="O11" i="3" s="1"/>
  <c r="O77" i="3" s="1"/>
  <c r="L9" i="3"/>
  <c r="H23" i="3" l="1"/>
  <c r="O73" i="3"/>
  <c r="O75" i="3" s="1"/>
  <c r="G54" i="3"/>
  <c r="D42" i="3"/>
  <c r="K43" i="3"/>
  <c r="K55" i="3"/>
  <c r="K42" i="3"/>
  <c r="M43" i="3"/>
  <c r="M42" i="3"/>
  <c r="L42" i="3"/>
  <c r="L43" i="3"/>
  <c r="L55" i="3"/>
  <c r="O7" i="3"/>
  <c r="O15" i="3"/>
  <c r="O28" i="3"/>
  <c r="O69" i="3" l="1"/>
  <c r="O62" i="3"/>
  <c r="O65" i="3" s="1"/>
  <c r="O66" i="3"/>
  <c r="O56" i="3"/>
  <c r="O13" i="3" s="1"/>
  <c r="O70" i="3"/>
  <c r="O57" i="3"/>
  <c r="O12" i="3"/>
  <c r="O48" i="3"/>
  <c r="O76" i="3" s="1"/>
  <c r="G8" i="3"/>
  <c r="G14" i="3" s="1"/>
  <c r="G17" i="3" l="1"/>
  <c r="G21" i="3"/>
  <c r="K15" i="3"/>
  <c r="K11" i="3"/>
  <c r="K77" i="3" s="1"/>
  <c r="C53" i="3"/>
  <c r="C8" i="3"/>
  <c r="C14" i="3" s="1"/>
  <c r="C17" i="3" s="1"/>
  <c r="L15" i="3"/>
  <c r="L11" i="3"/>
  <c r="L77" i="3" s="1"/>
  <c r="D53" i="3"/>
  <c r="D45" i="3"/>
  <c r="D47" i="3" s="1"/>
  <c r="D34" i="3"/>
  <c r="D8" i="3"/>
  <c r="D14" i="3" s="1"/>
  <c r="D17" i="3" s="1"/>
  <c r="D6" i="3"/>
  <c r="M74" i="3"/>
  <c r="N74" i="3"/>
  <c r="L74" i="3"/>
  <c r="K74" i="3"/>
  <c r="M73" i="3"/>
  <c r="L73" i="3"/>
  <c r="K73" i="3"/>
  <c r="M72" i="3"/>
  <c r="N72" i="3"/>
  <c r="L72" i="3"/>
  <c r="K72" i="3"/>
  <c r="L61" i="3"/>
  <c r="M61" i="3"/>
  <c r="N50" i="3"/>
  <c r="M50" i="3"/>
  <c r="L50" i="3"/>
  <c r="K50" i="3"/>
  <c r="M39" i="3"/>
  <c r="N28" i="3"/>
  <c r="M28" i="3"/>
  <c r="N15" i="3"/>
  <c r="M15" i="3"/>
  <c r="N11" i="3"/>
  <c r="N77" i="3" s="1"/>
  <c r="M11" i="3"/>
  <c r="M77" i="3" s="1"/>
  <c r="L7" i="3"/>
  <c r="M7" i="3"/>
  <c r="N7" i="3"/>
  <c r="K7" i="3"/>
  <c r="E45" i="3"/>
  <c r="E47" i="3" s="1"/>
  <c r="F45" i="3"/>
  <c r="E34" i="3"/>
  <c r="E8" i="3"/>
  <c r="E14" i="3" s="1"/>
  <c r="E6" i="3"/>
  <c r="F34" i="3"/>
  <c r="F8" i="3"/>
  <c r="F14" i="3" s="1"/>
  <c r="G15" i="3" s="1"/>
  <c r="F6" i="3"/>
  <c r="G23" i="3" l="1"/>
  <c r="O78" i="3"/>
  <c r="O68" i="3"/>
  <c r="G16" i="3"/>
  <c r="F17" i="3"/>
  <c r="F16" i="3"/>
  <c r="M56" i="3"/>
  <c r="M13" i="3" s="1"/>
  <c r="K12" i="3"/>
  <c r="M57" i="3"/>
  <c r="L12" i="3"/>
  <c r="N70" i="3"/>
  <c r="M69" i="3"/>
  <c r="M48" i="3"/>
  <c r="M76" i="3" s="1"/>
  <c r="N56" i="3"/>
  <c r="O79" i="3" s="1"/>
  <c r="L70" i="3"/>
  <c r="G24" i="3"/>
  <c r="K69" i="3"/>
  <c r="K70" i="3"/>
  <c r="D52" i="3"/>
  <c r="C21" i="3"/>
  <c r="C52" i="3"/>
  <c r="F52" i="3"/>
  <c r="L69" i="3"/>
  <c r="M75" i="3"/>
  <c r="N12" i="3"/>
  <c r="M12" i="3"/>
  <c r="N69" i="3"/>
  <c r="L75" i="3"/>
  <c r="K75" i="3"/>
  <c r="D21" i="3"/>
  <c r="E17" i="3"/>
  <c r="E21" i="3"/>
  <c r="E24" i="3" s="1"/>
  <c r="F21" i="3"/>
  <c r="F23" i="3" s="1"/>
  <c r="F47" i="3"/>
  <c r="G25" i="3" l="1"/>
  <c r="O67" i="3"/>
  <c r="G28" i="3"/>
  <c r="N79" i="3"/>
  <c r="T13" i="3"/>
  <c r="E23" i="3"/>
  <c r="M78" i="3"/>
  <c r="M68" i="3"/>
  <c r="N73" i="3"/>
  <c r="N75" i="3" s="1"/>
  <c r="N68" i="3"/>
  <c r="N78" i="3"/>
  <c r="C23" i="3"/>
  <c r="C24" i="3"/>
  <c r="C25" i="3" s="1"/>
  <c r="D23" i="3"/>
  <c r="D24" i="3"/>
  <c r="D25" i="3" s="1"/>
  <c r="G26" i="3" l="1"/>
  <c r="N57" i="3"/>
  <c r="N48" i="3"/>
  <c r="N76" i="3" s="1"/>
  <c r="N13" i="3"/>
  <c r="U13" i="3" s="1"/>
  <c r="C45" i="3"/>
  <c r="C47" i="3" s="1"/>
  <c r="C51" i="3" l="1"/>
  <c r="E53" i="3"/>
  <c r="M70" i="3" s="1"/>
  <c r="K61" i="3"/>
  <c r="K64" i="3" s="1"/>
  <c r="L39" i="3"/>
  <c r="L57" i="3" s="1"/>
  <c r="K39" i="3"/>
  <c r="K57" i="3" s="1"/>
  <c r="L28" i="3"/>
  <c r="K28" i="3"/>
  <c r="K56" i="3" s="1"/>
  <c r="E52" i="3"/>
  <c r="L48" i="3" l="1"/>
  <c r="L76" i="3" s="1"/>
  <c r="L56" i="3"/>
  <c r="K48" i="3"/>
  <c r="K76" i="3" s="1"/>
  <c r="K13" i="3" l="1"/>
  <c r="R13" i="3" s="1"/>
  <c r="K79" i="3"/>
  <c r="L13" i="3"/>
  <c r="S13" i="3" s="1"/>
  <c r="M79" i="3"/>
  <c r="L79" i="3"/>
  <c r="F15" i="3"/>
  <c r="E42" i="3"/>
  <c r="C42" i="3"/>
  <c r="C43" i="3" s="1"/>
  <c r="D43" i="3" s="1"/>
  <c r="E43" i="3" l="1"/>
  <c r="F43" i="3" s="1"/>
  <c r="G38" i="3" s="1"/>
  <c r="G43" i="3" s="1"/>
  <c r="M67" i="3"/>
  <c r="F24" i="3"/>
  <c r="F26" i="3" s="1"/>
  <c r="F28" i="3" l="1"/>
  <c r="G29" i="3" s="1"/>
  <c r="N67" i="3"/>
  <c r="E28" i="3"/>
  <c r="E25" i="3"/>
  <c r="F25" i="3"/>
  <c r="F29" i="3" l="1"/>
  <c r="F42" i="2"/>
  <c r="F43" i="2" s="1"/>
  <c r="G42" i="2"/>
  <c r="G43" i="2" s="1"/>
  <c r="H42" i="2"/>
  <c r="I42" i="2"/>
  <c r="G14" i="2"/>
  <c r="G7" i="2"/>
  <c r="H46" i="2" l="1"/>
  <c r="H57" i="2" s="1"/>
  <c r="I46" i="2"/>
  <c r="I57" i="2" s="1"/>
  <c r="G30" i="2"/>
  <c r="G31" i="2" s="1"/>
  <c r="G26" i="2"/>
  <c r="F26" i="2"/>
  <c r="F15" i="2"/>
  <c r="G15" i="2"/>
  <c r="F8" i="2"/>
  <c r="F46" i="2" s="1"/>
  <c r="F57" i="2" s="1"/>
  <c r="G8" i="2"/>
  <c r="G10" i="2" s="1"/>
  <c r="G46" i="2" l="1"/>
  <c r="G57" i="2" s="1"/>
  <c r="F11" i="2"/>
  <c r="G11" i="2"/>
  <c r="D27" i="2"/>
  <c r="E27" i="2"/>
  <c r="F44" i="2"/>
  <c r="G44" i="2"/>
  <c r="H44" i="2"/>
  <c r="I44" i="2"/>
  <c r="D49" i="2"/>
  <c r="F48" i="2"/>
  <c r="F45" i="2" s="1"/>
  <c r="G48" i="2"/>
  <c r="H48" i="2"/>
  <c r="H45" i="2" s="1"/>
  <c r="I48" i="2"/>
  <c r="I45" i="2" s="1"/>
  <c r="E49" i="2"/>
  <c r="F50" i="2"/>
  <c r="G50" i="2"/>
  <c r="H50" i="2"/>
  <c r="I50" i="2"/>
  <c r="F56" i="2"/>
  <c r="G56" i="2"/>
  <c r="H56" i="2"/>
  <c r="I56" i="2"/>
  <c r="F59" i="2"/>
  <c r="G59" i="2"/>
  <c r="H59" i="2"/>
  <c r="I59" i="2"/>
  <c r="D58" i="2"/>
  <c r="E58" i="2"/>
  <c r="F55" i="2"/>
  <c r="G55" i="2"/>
  <c r="H55" i="2"/>
  <c r="I55" i="2"/>
  <c r="F54" i="2"/>
  <c r="G54" i="2"/>
  <c r="H54" i="2"/>
  <c r="I54" i="2"/>
  <c r="D53" i="2"/>
  <c r="E53" i="2"/>
  <c r="D52" i="2"/>
  <c r="E52" i="2"/>
  <c r="D51" i="2"/>
  <c r="E51" i="2"/>
  <c r="D47" i="2"/>
  <c r="E47" i="2"/>
  <c r="E30" i="2"/>
  <c r="D32" i="2"/>
  <c r="E32" i="2"/>
  <c r="F38" i="2"/>
  <c r="G38" i="2"/>
  <c r="H38" i="2"/>
  <c r="I38" i="2"/>
  <c r="F37" i="2"/>
  <c r="G37" i="2"/>
  <c r="H37" i="2"/>
  <c r="I37" i="2"/>
  <c r="D35" i="2"/>
  <c r="E35" i="2"/>
  <c r="F35" i="2"/>
  <c r="G35" i="2"/>
  <c r="H35" i="2"/>
  <c r="I35" i="2"/>
  <c r="I34" i="2"/>
  <c r="F34" i="2"/>
  <c r="G34" i="2"/>
  <c r="H34" i="2"/>
  <c r="D34" i="2"/>
  <c r="E34" i="2"/>
  <c r="D25" i="2"/>
  <c r="E25" i="2"/>
  <c r="G45" i="2" l="1"/>
  <c r="E26" i="2"/>
  <c r="D26" i="2"/>
  <c r="D21" i="2"/>
  <c r="E21" i="2"/>
  <c r="D22" i="2"/>
  <c r="E22" i="2"/>
  <c r="D19" i="2"/>
  <c r="D42" i="2" s="1"/>
  <c r="D43" i="2" s="1"/>
  <c r="D37" i="2" s="1"/>
  <c r="E19" i="2"/>
  <c r="D12" i="2"/>
  <c r="E12" i="2"/>
  <c r="D5" i="2"/>
  <c r="D50" i="2" s="1"/>
  <c r="E5" i="2"/>
  <c r="E8" i="2" s="1"/>
  <c r="D8" i="2" l="1"/>
  <c r="D38" i="2" s="1"/>
  <c r="D44" i="2"/>
  <c r="E20" i="2"/>
  <c r="E54" i="2" s="1"/>
  <c r="D20" i="2"/>
  <c r="D54" i="2" s="1"/>
  <c r="D46" i="2"/>
  <c r="E14" i="2"/>
  <c r="E44" i="2"/>
  <c r="E42" i="2"/>
  <c r="E43" i="2" s="1"/>
  <c r="E37" i="2" s="1"/>
  <c r="E48" i="2"/>
  <c r="E7" i="2"/>
  <c r="E50" i="2"/>
  <c r="D11" i="2"/>
  <c r="D15" i="2"/>
  <c r="D48" i="2"/>
  <c r="E55" i="2"/>
  <c r="E10" i="2"/>
  <c r="E46" i="2"/>
  <c r="E11" i="2"/>
  <c r="E15" i="2"/>
  <c r="C56" i="2"/>
  <c r="B56" i="2"/>
  <c r="C50" i="2"/>
  <c r="B50" i="2"/>
  <c r="C48" i="2"/>
  <c r="B48" i="2"/>
  <c r="C46" i="2"/>
  <c r="B46" i="2"/>
  <c r="C44" i="2"/>
  <c r="B44" i="2"/>
  <c r="C42" i="2"/>
  <c r="C43" i="2" s="1"/>
  <c r="C37" i="2" s="1"/>
  <c r="B42" i="2"/>
  <c r="B43" i="2" s="1"/>
  <c r="B37" i="2" s="1"/>
  <c r="C35" i="2"/>
  <c r="B35" i="2"/>
  <c r="C34" i="2"/>
  <c r="B34" i="2"/>
  <c r="C30" i="2"/>
  <c r="B30" i="2"/>
  <c r="C26" i="2"/>
  <c r="B26" i="2"/>
  <c r="C20" i="2"/>
  <c r="C59" i="2" s="1"/>
  <c r="B20" i="2"/>
  <c r="B59" i="2" s="1"/>
  <c r="C15" i="2"/>
  <c r="B15" i="2"/>
  <c r="C14" i="2"/>
  <c r="C11" i="2"/>
  <c r="B11" i="2"/>
  <c r="C10" i="2"/>
  <c r="C7" i="2"/>
  <c r="E59" i="2" l="1"/>
  <c r="D59" i="2"/>
  <c r="E31" i="2"/>
  <c r="E38" i="2" s="1"/>
  <c r="C45" i="2"/>
  <c r="D55" i="2"/>
  <c r="C31" i="2"/>
  <c r="C38" i="2" s="1"/>
  <c r="B45" i="2"/>
  <c r="B31" i="2"/>
  <c r="B38" i="2" s="1"/>
  <c r="E45" i="2"/>
  <c r="E57" i="2"/>
  <c r="E56" i="2" s="1"/>
  <c r="B54" i="2"/>
  <c r="C54" i="2"/>
  <c r="D45" i="2"/>
  <c r="D57" i="2"/>
  <c r="D56" i="2" s="1"/>
  <c r="B55" i="2"/>
  <c r="C55" i="2"/>
  <c r="K68" i="3" l="1"/>
  <c r="D15" i="3"/>
  <c r="K66" i="3"/>
  <c r="K78" i="3"/>
  <c r="C28" i="3" l="1"/>
  <c r="F30" i="3" s="1"/>
  <c r="K67" i="3" l="1"/>
  <c r="L68" i="3"/>
  <c r="E15" i="3"/>
  <c r="L78" i="3" l="1"/>
  <c r="L67" i="3" l="1"/>
  <c r="D28" i="3"/>
  <c r="G30" i="3" s="1"/>
  <c r="E29" i="3" l="1"/>
  <c r="D29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  <author>Dell</author>
  </authors>
  <commentList>
    <comment ref="B28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PAT AFTER OCI</t>
        </r>
      </text>
    </comment>
    <comment ref="D42" authorId="1" shapeId="0" xr:uid="{E8CC0036-B687-4A10-9919-2575D06F7340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0.19 effect of forex
</t>
        </r>
      </text>
    </comment>
    <comment ref="F42" authorId="1" shapeId="0" xr:uid="{EBCA0B6A-CC70-4673-B0E1-E3AE9F01C874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0.08 effect of forex</t>
        </r>
      </text>
    </comment>
  </commentList>
</comments>
</file>

<file path=xl/sharedStrings.xml><?xml version="1.0" encoding="utf-8"?>
<sst xmlns="http://schemas.openxmlformats.org/spreadsheetml/2006/main" count="276" uniqueCount="174">
  <si>
    <t>Growth (%)</t>
  </si>
  <si>
    <t>CAGR (%) - 3 Years</t>
  </si>
  <si>
    <t>Expenditure</t>
  </si>
  <si>
    <t>EBITDA</t>
  </si>
  <si>
    <t>EBITDA margin (%)</t>
  </si>
  <si>
    <t>Depreciation</t>
  </si>
  <si>
    <t>PBT</t>
  </si>
  <si>
    <t>Tax</t>
  </si>
  <si>
    <t>Effective tax rate (%)</t>
  </si>
  <si>
    <t>PAT</t>
  </si>
  <si>
    <t>PAT margin (%)</t>
  </si>
  <si>
    <t>Minority Interest</t>
  </si>
  <si>
    <t>Other Comprehensive Income</t>
  </si>
  <si>
    <t>EPS</t>
  </si>
  <si>
    <t>FY21</t>
  </si>
  <si>
    <t>Consolidated Income Statement</t>
  </si>
  <si>
    <t>Share Capital</t>
  </si>
  <si>
    <t>Networth/Shareholders Fund/ Book Value</t>
  </si>
  <si>
    <t>Long Term Debt</t>
  </si>
  <si>
    <t>Short Term Debt</t>
  </si>
  <si>
    <t>Loans</t>
  </si>
  <si>
    <t>Capital Employed</t>
  </si>
  <si>
    <t>Consolidated Balance Sheet</t>
  </si>
  <si>
    <t>NON-CURRENT ASSETS</t>
  </si>
  <si>
    <t>Property, plant &amp; equipment</t>
  </si>
  <si>
    <t>Financial assets</t>
  </si>
  <si>
    <t>CURRENT ASSETS, LOANS &amp; ADVANCES</t>
  </si>
  <si>
    <t>Inventories</t>
  </si>
  <si>
    <t>(ii) Trade Receivable</t>
  </si>
  <si>
    <t>(iii) Cash and cash equivalents</t>
  </si>
  <si>
    <t>(iv) Other bank balances</t>
  </si>
  <si>
    <t>(v) Loans and Advance</t>
  </si>
  <si>
    <t>Other Current Assets</t>
  </si>
  <si>
    <t>CURRENT LIABILITIES &amp; PROVISIONS</t>
  </si>
  <si>
    <t>NET CURRENT ASSETS</t>
  </si>
  <si>
    <t>TOTAL ASSETS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</si>
  <si>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</si>
  <si>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</si>
  <si>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</si>
  <si>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</si>
  <si>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</si>
  <si>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</si>
  <si>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</si>
  <si>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</si>
  <si>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</si>
  <si>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</si>
  <si>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</si>
  <si>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</si>
  <si>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</si>
  <si>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</si>
  <si>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</si>
  <si>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</si>
  <si>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</si>
  <si>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</si>
  <si>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</si>
  <si>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</si>
  <si>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</si>
  <si>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</si>
  <si>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</si>
  <si>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</si>
  <si>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</si>
  <si>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</si>
  <si>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</si>
  <si>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</si>
  <si>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</si>
  <si>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</si>
  <si>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</si>
  <si>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</si>
  <si>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EV</t>
  </si>
  <si>
    <t>Capital Work-in-progress</t>
  </si>
  <si>
    <t>Provisions</t>
  </si>
  <si>
    <t>-</t>
  </si>
  <si>
    <t>FY22</t>
  </si>
  <si>
    <t>Consolidated (In Mn)</t>
  </si>
  <si>
    <t>Phoenix Mills</t>
  </si>
  <si>
    <t>P&amp;L Comparison</t>
  </si>
  <si>
    <t>Total Income/Operational Income</t>
  </si>
  <si>
    <t>Total Income/Operational Income 2019 (FY21 -AR)</t>
  </si>
  <si>
    <t>3 Years CAGR (%)</t>
  </si>
  <si>
    <t xml:space="preserve">EBITDA </t>
  </si>
  <si>
    <t>EBITDA 2019(Calculate from ARFY21/Ratestar)</t>
  </si>
  <si>
    <t>EBITDA Margin (%)</t>
  </si>
  <si>
    <t>PAT 2019 (FY21-AR)</t>
  </si>
  <si>
    <t>PAT Margin (%)</t>
  </si>
  <si>
    <t>Balance Sheet Comparision</t>
  </si>
  <si>
    <t>Total Networth (Total Equity)</t>
  </si>
  <si>
    <t>Long Term</t>
  </si>
  <si>
    <t>Short Term</t>
  </si>
  <si>
    <t>Cash Flow</t>
  </si>
  <si>
    <t>CFO</t>
  </si>
  <si>
    <t>Purchase of Plant &amp; Machinery</t>
  </si>
  <si>
    <t>No. of Shares (In Mn)</t>
  </si>
  <si>
    <t>Enterprise Value</t>
  </si>
  <si>
    <t>Cash &amp; Cash Equvivalents</t>
  </si>
  <si>
    <t>Stock P/E</t>
  </si>
  <si>
    <t>Dividend (Total= interim + Final)</t>
  </si>
  <si>
    <t>P/B</t>
  </si>
  <si>
    <t>EV/ EBITDA</t>
  </si>
  <si>
    <t>Operational Ratios Comparison</t>
  </si>
  <si>
    <t>CMP (As on 31st March FY21 &amp; FY22)</t>
  </si>
  <si>
    <t>Book Value</t>
  </si>
  <si>
    <t>Book Value Per Share</t>
  </si>
  <si>
    <t>ROE</t>
  </si>
  <si>
    <t>ROCE</t>
  </si>
  <si>
    <t>EBIT</t>
  </si>
  <si>
    <t>Capital Employeed</t>
  </si>
  <si>
    <t>Non Current Liabilities</t>
  </si>
  <si>
    <t>Fixed Asset Turnover</t>
  </si>
  <si>
    <t>PPE -Balance Sheet</t>
  </si>
  <si>
    <t>CWIP - Balance Sheet</t>
  </si>
  <si>
    <t>Investment- Balance Sheet</t>
  </si>
  <si>
    <t>Gross Debt/Equity</t>
  </si>
  <si>
    <t>Net Debt/Equity</t>
  </si>
  <si>
    <t>Interest Coverage Ratio</t>
  </si>
  <si>
    <t>Finance Cost</t>
  </si>
  <si>
    <t>Interest Cost (%)</t>
  </si>
  <si>
    <t>Mallcom</t>
  </si>
  <si>
    <t>Arvind</t>
  </si>
  <si>
    <t>Bata</t>
  </si>
  <si>
    <t>Liberty Shoes</t>
  </si>
  <si>
    <t>Asset Turnover Ratio</t>
  </si>
  <si>
    <t xml:space="preserve">  (i) Investments</t>
  </si>
  <si>
    <t xml:space="preserve">  (vi) Others</t>
  </si>
  <si>
    <t>NON CURRENT LIABILITIES</t>
  </si>
  <si>
    <t>FY23</t>
  </si>
  <si>
    <t>Market Cap (Rs. Mn)</t>
  </si>
  <si>
    <t>FY24</t>
  </si>
  <si>
    <t>FY25</t>
  </si>
  <si>
    <t>Cost of material consumed</t>
  </si>
  <si>
    <t>Changes in inventories of finished goods and work- in-progress</t>
  </si>
  <si>
    <t>Purchase of stock in trade</t>
  </si>
  <si>
    <t>Employee benefit expense</t>
  </si>
  <si>
    <t>Other expense</t>
  </si>
  <si>
    <t>Other income</t>
  </si>
  <si>
    <t>Depreciation and amortisation expense</t>
  </si>
  <si>
    <t>Finance costs</t>
  </si>
  <si>
    <t>Basic</t>
  </si>
  <si>
    <t>Diluted</t>
  </si>
  <si>
    <t>Reserves and Surplus</t>
  </si>
  <si>
    <t>(iii) Other financial assets</t>
  </si>
  <si>
    <t>Right-of-use assets</t>
  </si>
  <si>
    <t xml:space="preserve">Intangible assets </t>
  </si>
  <si>
    <t>(ii) Loans</t>
  </si>
  <si>
    <t>Income tax assets (net)</t>
  </si>
  <si>
    <t>Deferred tax assets (net)</t>
  </si>
  <si>
    <t>Other non-current assets</t>
  </si>
  <si>
    <t>Financial Liabilities</t>
  </si>
  <si>
    <t xml:space="preserve">(i) Borrowings </t>
  </si>
  <si>
    <t>(ii) Trade payables</t>
  </si>
  <si>
    <t>(iii) Other financial liabilities</t>
  </si>
  <si>
    <t xml:space="preserve">Current tax liabilities </t>
  </si>
  <si>
    <t>Other current liabilities</t>
  </si>
  <si>
    <t>Financial liabilities</t>
  </si>
  <si>
    <t>(i) Borrowings</t>
  </si>
  <si>
    <t>(ii) Lease liabilities</t>
  </si>
  <si>
    <t>FCFF</t>
  </si>
  <si>
    <t>Free Cash Flow (INR Mn)</t>
  </si>
  <si>
    <t>March Year Ended (INR Mn)</t>
  </si>
  <si>
    <t>Cash Flow Statement (INR Mn)</t>
  </si>
  <si>
    <t>Ratios</t>
  </si>
  <si>
    <t>INR Mn</t>
  </si>
  <si>
    <t>Revenue from Operations</t>
  </si>
  <si>
    <t>TOTAL LIABILITIES &amp; EQUITY</t>
  </si>
  <si>
    <t>NA</t>
  </si>
  <si>
    <t>Total Comprehensive</t>
  </si>
  <si>
    <t>(i) Investments</t>
  </si>
  <si>
    <t xml:space="preserve">KSH International Limited </t>
  </si>
  <si>
    <t>FY26</t>
  </si>
  <si>
    <t>Deferred tax liabilities</t>
  </si>
  <si>
    <t>(iv) Lease liabilities</t>
  </si>
  <si>
    <t xml:space="preserve">Q1-FY27 </t>
  </si>
  <si>
    <t>Q1-FY27</t>
  </si>
  <si>
    <t>30th June 2026</t>
  </si>
  <si>
    <t xml:space="preserve">TTM EPS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</si>
</sst>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"/>
    <numFmt numFmtId="165" formatCode="0.0%"/>
    <numFmt numFmtId="166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00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5" xfId="0" applyBorder="1"/>
    <xf numFmtId="0" fontId="0" fillId="0" borderId="6" xfId="0" applyBorder="1"/>
    <xf numFmtId="0" fontId="2" fillId="0" borderId="5" xfId="0" applyFont="1" applyBorder="1"/>
    <xf numFmtId="166" fontId="0" fillId="0" borderId="5" xfId="1" applyNumberFormat="1" applyFont="1" applyFill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5" xfId="0" applyBorder="1" applyAlignment="1">
      <alignment horizontal="right"/>
    </xf>
    <xf numFmtId="166" fontId="0" fillId="0" borderId="5" xfId="1" applyNumberFormat="1" applyFont="1" applyBorder="1" applyAlignment="1">
      <alignment horizontal="right"/>
    </xf>
    <xf numFmtId="43" fontId="0" fillId="0" borderId="5" xfId="1" applyFont="1" applyBorder="1" applyAlignment="1">
      <alignment horizontal="right"/>
    </xf>
    <xf numFmtId="10" fontId="4" fillId="0" borderId="5" xfId="2" applyNumberFormat="1" applyFont="1" applyFill="1" applyBorder="1"/>
    <xf numFmtId="10" fontId="4" fillId="0" borderId="5" xfId="2" applyNumberFormat="1" applyFont="1" applyBorder="1"/>
    <xf numFmtId="10" fontId="0" fillId="0" borderId="5" xfId="2" applyNumberFormat="1" applyFont="1" applyBorder="1"/>
    <xf numFmtId="43" fontId="0" fillId="0" borderId="5" xfId="1" applyFont="1" applyBorder="1"/>
    <xf numFmtId="43" fontId="0" fillId="0" borderId="6" xfId="1" applyFont="1" applyBorder="1"/>
    <xf numFmtId="166" fontId="0" fillId="0" borderId="5" xfId="0" applyNumberFormat="1" applyBorder="1"/>
    <xf numFmtId="2" fontId="0" fillId="0" borderId="5" xfId="0" applyNumberFormat="1" applyBorder="1"/>
    <xf numFmtId="43" fontId="0" fillId="0" borderId="5" xfId="0" applyNumberFormat="1" applyBorder="1"/>
    <xf numFmtId="10" fontId="0" fillId="0" borderId="5" xfId="2" applyNumberFormat="1" applyFont="1" applyFill="1" applyBorder="1"/>
    <xf numFmtId="43" fontId="0" fillId="0" borderId="5" xfId="1" applyFont="1" applyFill="1" applyBorder="1"/>
    <xf numFmtId="0" fontId="0" fillId="0" borderId="5" xfId="2" applyNumberFormat="1" applyFont="1" applyFill="1" applyBorder="1"/>
    <xf numFmtId="10" fontId="0" fillId="0" borderId="5" xfId="1" applyNumberFormat="1" applyFont="1" applyBorder="1"/>
    <xf numFmtId="10" fontId="0" fillId="0" borderId="6" xfId="2" applyNumberFormat="1" applyFont="1" applyBorder="1"/>
    <xf numFmtId="10" fontId="0" fillId="0" borderId="6" xfId="1" applyNumberFormat="1" applyFont="1" applyBorder="1"/>
    <xf numFmtId="166" fontId="0" fillId="0" borderId="5" xfId="2" applyNumberFormat="1" applyFont="1" applyFill="1" applyBorder="1"/>
    <xf numFmtId="2" fontId="0" fillId="0" borderId="5" xfId="2" applyNumberFormat="1" applyFont="1" applyBorder="1"/>
    <xf numFmtId="0" fontId="0" fillId="0" borderId="7" xfId="0" applyBorder="1"/>
    <xf numFmtId="0" fontId="0" fillId="0" borderId="7" xfId="2" applyNumberFormat="1" applyFont="1" applyFill="1" applyBorder="1"/>
    <xf numFmtId="10" fontId="0" fillId="0" borderId="8" xfId="2" applyNumberFormat="1" applyFont="1" applyBorder="1"/>
    <xf numFmtId="0" fontId="0" fillId="0" borderId="5" xfId="2" applyNumberFormat="1" applyFont="1" applyBorder="1"/>
    <xf numFmtId="10" fontId="0" fillId="0" borderId="7" xfId="2" applyNumberFormat="1" applyFont="1" applyFill="1" applyBorder="1"/>
    <xf numFmtId="0" fontId="0" fillId="0" borderId="5" xfId="1" applyNumberFormat="1" applyFont="1" applyBorder="1"/>
    <xf numFmtId="0" fontId="6" fillId="0" borderId="0" xfId="0" applyFont="1"/>
    <xf numFmtId="0" fontId="7" fillId="5" borderId="1" xfId="0" applyFont="1" applyFill="1" applyBorder="1"/>
    <xf numFmtId="0" fontId="1" fillId="3" borderId="1" xfId="0" applyFont="1" applyFill="1" applyBorder="1"/>
    <xf numFmtId="10" fontId="0" fillId="0" borderId="1" xfId="2" applyNumberFormat="1" applyFont="1" applyBorder="1"/>
    <xf numFmtId="0" fontId="0" fillId="0" borderId="1" xfId="0" applyBorder="1"/>
    <xf numFmtId="0" fontId="0" fillId="5" borderId="1" xfId="0" applyFill="1" applyBorder="1"/>
    <xf numFmtId="2" fontId="0" fillId="0" borderId="1" xfId="0" applyNumberFormat="1" applyBorder="1"/>
    <xf numFmtId="43" fontId="0" fillId="0" borderId="1" xfId="0" applyNumberFormat="1" applyBorder="1"/>
    <xf numFmtId="10" fontId="7" fillId="5" borderId="1" xfId="2" applyNumberFormat="1" applyFont="1" applyFill="1" applyBorder="1"/>
    <xf numFmtId="10" fontId="7" fillId="5" borderId="1" xfId="0" applyNumberFormat="1" applyFont="1" applyFill="1" applyBorder="1"/>
    <xf numFmtId="43" fontId="1" fillId="3" borderId="1" xfId="1" applyFont="1" applyFill="1" applyBorder="1"/>
    <xf numFmtId="43" fontId="7" fillId="5" borderId="1" xfId="1" applyFont="1" applyFill="1" applyBorder="1"/>
    <xf numFmtId="10" fontId="1" fillId="5" borderId="1" xfId="2" applyNumberFormat="1" applyFont="1" applyFill="1" applyBorder="1"/>
    <xf numFmtId="43" fontId="0" fillId="0" borderId="1" xfId="1" applyFont="1" applyBorder="1"/>
    <xf numFmtId="10" fontId="0" fillId="5" borderId="1" xfId="2" applyNumberFormat="1" applyFont="1" applyFill="1" applyBorder="1"/>
    <xf numFmtId="43" fontId="1" fillId="0" borderId="1" xfId="1" applyFont="1" applyBorder="1"/>
    <xf numFmtId="0" fontId="9" fillId="0" borderId="1" xfId="0" applyFont="1" applyBorder="1"/>
    <xf numFmtId="0" fontId="0" fillId="0" borderId="1" xfId="0" applyBorder="1" applyAlignment="1">
      <alignment horizontal="left" indent="1"/>
    </xf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1" fillId="0" borderId="7" xfId="0" applyFont="1" applyBorder="1"/>
    <xf numFmtId="0" fontId="0" fillId="2" borderId="1" xfId="0" applyFill="1" applyBorder="1"/>
    <xf numFmtId="164" fontId="0" fillId="0" borderId="1" xfId="0" applyNumberFormat="1" applyBorder="1" applyAlignment="1">
      <alignment horizontal="left" indent="1"/>
    </xf>
    <xf numFmtId="165" fontId="0" fillId="0" borderId="1" xfId="0" applyNumberForma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3" borderId="1" xfId="0" applyFont="1" applyFill="1" applyBorder="1"/>
    <xf numFmtId="0" fontId="1" fillId="2" borderId="1" xfId="0" applyFont="1" applyFill="1" applyBorder="1"/>
    <xf numFmtId="43" fontId="0" fillId="0" borderId="7" xfId="1" applyFont="1" applyBorder="1"/>
    <xf numFmtId="43" fontId="0" fillId="2" borderId="1" xfId="1" applyFont="1" applyFill="1" applyBorder="1"/>
    <xf numFmtId="166" fontId="10" fillId="0" borderId="7" xfId="1" applyNumberFormat="1" applyFont="1" applyBorder="1"/>
    <xf numFmtId="43" fontId="1" fillId="2" borderId="1" xfId="1" applyFont="1" applyFill="1" applyBorder="1"/>
    <xf numFmtId="43" fontId="0" fillId="0" borderId="0" xfId="0" applyNumberFormat="1"/>
    <xf numFmtId="0" fontId="0" fillId="0" borderId="1" xfId="0" applyBorder="1" applyAlignment="1">
      <alignment wrapText="1"/>
    </xf>
    <xf numFmtId="0" fontId="11" fillId="0" borderId="1" xfId="0" applyFont="1" applyBorder="1" applyAlignment="1">
      <alignment horizontal="left" indent="1"/>
    </xf>
    <xf numFmtId="0" fontId="14" fillId="6" borderId="1" xfId="0" applyFont="1" applyFill="1" applyBorder="1" applyAlignment="1">
      <alignment horizontal="left"/>
    </xf>
    <xf numFmtId="0" fontId="14" fillId="6" borderId="1" xfId="0" applyFont="1" applyFill="1" applyBorder="1" applyAlignment="1">
      <alignment horizontal="center"/>
    </xf>
    <xf numFmtId="0" fontId="14" fillId="6" borderId="1" xfId="0" applyFont="1" applyFill="1" applyBorder="1"/>
    <xf numFmtId="0" fontId="0" fillId="0" borderId="1" xfId="0" applyBorder="1" applyAlignment="1">
      <alignment horizontal="right"/>
    </xf>
    <xf numFmtId="43" fontId="0" fillId="0" borderId="1" xfId="0" applyNumberFormat="1" applyBorder="1" applyAlignment="1">
      <alignment horizontal="right"/>
    </xf>
    <xf numFmtId="43" fontId="0" fillId="0" borderId="1" xfId="1" applyFont="1" applyFill="1" applyBorder="1"/>
    <xf numFmtId="2" fontId="0" fillId="0" borderId="1" xfId="0" applyNumberFormat="1" applyBorder="1" applyAlignment="1">
      <alignment horizontal="right"/>
    </xf>
    <xf numFmtId="43" fontId="0" fillId="0" borderId="1" xfId="1" applyFont="1" applyFill="1" applyBorder="1" applyAlignment="1">
      <alignment horizontal="right"/>
    </xf>
    <xf numFmtId="3" fontId="10" fillId="0" borderId="1" xfId="0" applyNumberFormat="1" applyFont="1" applyBorder="1"/>
    <xf numFmtId="43" fontId="0" fillId="2" borderId="7" xfId="1" applyFont="1" applyFill="1" applyBorder="1"/>
    <xf numFmtId="0" fontId="1" fillId="0" borderId="0" xfId="0" applyFont="1"/>
    <xf numFmtId="2" fontId="0" fillId="2" borderId="1" xfId="0" applyNumberFormat="1" applyFill="1" applyBorder="1" applyAlignment="1">
      <alignment horizontal="right"/>
    </xf>
    <xf numFmtId="43" fontId="0" fillId="0" borderId="1" xfId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10" fontId="0" fillId="0" borderId="1" xfId="2" applyNumberFormat="1" applyFont="1" applyBorder="1" applyAlignment="1">
      <alignment horizontal="right"/>
    </xf>
    <xf numFmtId="10" fontId="7" fillId="5" borderId="1" xfId="2" applyNumberFormat="1" applyFont="1" applyFill="1" applyBorder="1" applyAlignment="1">
      <alignment horizontal="right"/>
    </xf>
    <xf numFmtId="43" fontId="0" fillId="2" borderId="1" xfId="1" applyFont="1" applyFill="1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U79"/>
  <sheetViews>
    <sheetView tabSelected="1" topLeftCell="F1" zoomScale="70" zoomScaleNormal="70" workbookViewId="0">
      <selection activeCell="G52" sqref="G52"/>
    </sheetView>
  </sheetViews>
  <sheetFormatPr defaultColWidth="8.88671875" defaultRowHeight="14.4" x14ac:dyDescent="0.3"/>
  <cols>
    <col min="2" max="2" width="61.6640625" bestFit="1" customWidth="1"/>
    <col min="3" max="3" width="12.88671875" customWidth="1"/>
    <col min="4" max="4" width="13" bestFit="1" customWidth="1"/>
    <col min="5" max="5" width="14" bestFit="1" customWidth="1"/>
    <col min="6" max="6" width="13" bestFit="1" customWidth="1"/>
    <col min="7" max="7" width="12.44140625" bestFit="1" customWidth="1"/>
    <col min="8" max="8" width="12.44140625" customWidth="1"/>
    <col min="9" max="9" width="32" bestFit="1" customWidth="1"/>
    <col min="10" max="10" width="49.6640625" bestFit="1" customWidth="1"/>
    <col min="11" max="11" width="13.109375" hidden="1" customWidth="1"/>
    <col min="12" max="15" width="13.109375" bestFit="1" customWidth="1"/>
    <col min="16" max="16" width="13.109375" customWidth="1"/>
    <col min="18" max="19" width="10.109375" bestFit="1" customWidth="1"/>
  </cols>
  <sheetData>
    <row r="2" spans="2:21" ht="18" x14ac:dyDescent="0.35">
      <c r="B2" s="94" t="s">
        <v>166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84"/>
    </row>
    <row r="3" spans="2:21" x14ac:dyDescent="0.3">
      <c r="B3" s="89" t="s">
        <v>15</v>
      </c>
      <c r="C3" s="90"/>
      <c r="D3" s="90"/>
      <c r="E3" s="90"/>
      <c r="F3" s="90"/>
      <c r="G3" s="91"/>
      <c r="H3" s="83"/>
      <c r="J3" s="92" t="s">
        <v>22</v>
      </c>
      <c r="K3" s="93"/>
      <c r="L3" s="93"/>
      <c r="M3" s="93"/>
      <c r="N3" s="93"/>
      <c r="O3" s="93"/>
      <c r="P3" s="83"/>
    </row>
    <row r="4" spans="2:21" x14ac:dyDescent="0.3">
      <c r="B4" s="70" t="s">
        <v>157</v>
      </c>
      <c r="C4" s="71" t="s">
        <v>72</v>
      </c>
      <c r="D4" s="71" t="s">
        <v>124</v>
      </c>
      <c r="E4" s="71" t="s">
        <v>126</v>
      </c>
      <c r="F4" s="71" t="s">
        <v>127</v>
      </c>
      <c r="G4" s="71" t="s">
        <v>167</v>
      </c>
      <c r="H4" s="85" t="s">
        <v>170</v>
      </c>
      <c r="J4" s="70" t="s">
        <v>157</v>
      </c>
      <c r="K4" s="71" t="s">
        <v>72</v>
      </c>
      <c r="L4" s="71" t="s">
        <v>124</v>
      </c>
      <c r="M4" s="71" t="s">
        <v>126</v>
      </c>
      <c r="N4" s="71" t="s">
        <v>127</v>
      </c>
      <c r="O4" s="71" t="s">
        <v>167</v>
      </c>
    </row>
    <row r="5" spans="2:21" x14ac:dyDescent="0.3">
      <c r="B5" s="38" t="s">
        <v>161</v>
      </c>
      <c r="C5" s="47">
        <v>8705.89</v>
      </c>
      <c r="D5" s="47">
        <v>10494.6</v>
      </c>
      <c r="E5" s="47">
        <v>13828.15</v>
      </c>
      <c r="F5" s="47">
        <v>19282.93</v>
      </c>
      <c r="G5" s="47">
        <v>31069.71</v>
      </c>
      <c r="H5" s="47">
        <v>11642.35</v>
      </c>
      <c r="J5" s="51" t="s">
        <v>16</v>
      </c>
      <c r="K5" s="47">
        <v>56.82</v>
      </c>
      <c r="L5" s="47">
        <v>56.82</v>
      </c>
      <c r="M5" s="47">
        <v>56.82</v>
      </c>
      <c r="N5" s="47">
        <v>284.08999999999997</v>
      </c>
      <c r="O5" s="47">
        <v>338.78</v>
      </c>
    </row>
    <row r="6" spans="2:21" x14ac:dyDescent="0.3">
      <c r="B6" s="35" t="s">
        <v>0</v>
      </c>
      <c r="C6" s="45">
        <v>0</v>
      </c>
      <c r="D6" s="42">
        <f>D5/C5-1</f>
        <v>0.20545975196102884</v>
      </c>
      <c r="E6" s="42">
        <f>E5/D5-1</f>
        <v>0.31764431231299906</v>
      </c>
      <c r="F6" s="42">
        <f>F5/E5-1</f>
        <v>0.39446925293694379</v>
      </c>
      <c r="G6" s="42">
        <f>G5/F5-1</f>
        <v>0.61125461742587861</v>
      </c>
      <c r="H6" s="87" t="s">
        <v>163</v>
      </c>
      <c r="J6" s="51" t="s">
        <v>138</v>
      </c>
      <c r="K6" s="47">
        <v>1613.41</v>
      </c>
      <c r="L6" s="47">
        <v>1879.73</v>
      </c>
      <c r="M6" s="47">
        <v>2252.64</v>
      </c>
      <c r="N6" s="47">
        <v>2701.37</v>
      </c>
      <c r="O6" s="47">
        <v>7742.23</v>
      </c>
    </row>
    <row r="7" spans="2:21" x14ac:dyDescent="0.3">
      <c r="B7" s="35" t="s">
        <v>1</v>
      </c>
      <c r="C7" s="45">
        <v>0</v>
      </c>
      <c r="D7" s="45">
        <v>0</v>
      </c>
      <c r="E7" s="45">
        <v>0</v>
      </c>
      <c r="F7" s="43">
        <f>+((F5/C5)^(1/3)-1)</f>
        <v>0.30352675562455711</v>
      </c>
      <c r="G7" s="43">
        <f>+((G5/D5)^(1/3)-1)</f>
        <v>0.43589859257238817</v>
      </c>
      <c r="H7" s="87" t="s">
        <v>163</v>
      </c>
      <c r="J7" s="52" t="s">
        <v>17</v>
      </c>
      <c r="K7" s="44">
        <f>K5+K6+K8</f>
        <v>1670.23</v>
      </c>
      <c r="L7" s="44">
        <f t="shared" ref="L7:N7" si="0">L5+L6+L8</f>
        <v>1936.55</v>
      </c>
      <c r="M7" s="44">
        <f t="shared" si="0"/>
        <v>2309.46</v>
      </c>
      <c r="N7" s="44">
        <f t="shared" si="0"/>
        <v>2985.46</v>
      </c>
      <c r="O7" s="44">
        <f t="shared" ref="O7" si="1">O5+O6+O8</f>
        <v>8081.0099999999993</v>
      </c>
    </row>
    <row r="8" spans="2:21" x14ac:dyDescent="0.3">
      <c r="B8" s="36" t="s">
        <v>2</v>
      </c>
      <c r="C8" s="44">
        <f t="shared" ref="C8:H8" si="2">SUM(C9:C13)</f>
        <v>8211.77</v>
      </c>
      <c r="D8" s="44">
        <f t="shared" si="2"/>
        <v>9995.5999999999985</v>
      </c>
      <c r="E8" s="44">
        <f t="shared" si="2"/>
        <v>13113.53</v>
      </c>
      <c r="F8" s="44">
        <f t="shared" si="2"/>
        <v>18057.590000000004</v>
      </c>
      <c r="G8" s="44">
        <f t="shared" si="2"/>
        <v>29148.49</v>
      </c>
      <c r="H8" s="44">
        <f t="shared" si="2"/>
        <v>10898.619999999999</v>
      </c>
      <c r="J8" s="51" t="s">
        <v>11</v>
      </c>
      <c r="K8" s="47"/>
      <c r="L8" s="47"/>
      <c r="M8" s="47"/>
      <c r="N8" s="47"/>
      <c r="O8" s="47"/>
    </row>
    <row r="9" spans="2:21" x14ac:dyDescent="0.3">
      <c r="B9" s="38" t="s">
        <v>128</v>
      </c>
      <c r="C9" s="47">
        <v>8096.84</v>
      </c>
      <c r="D9" s="47">
        <v>9449.56</v>
      </c>
      <c r="E9" s="47">
        <v>12514.1</v>
      </c>
      <c r="F9" s="47">
        <v>17418.18</v>
      </c>
      <c r="G9" s="47">
        <v>29815.25</v>
      </c>
      <c r="H9" s="47">
        <v>11286.56</v>
      </c>
      <c r="J9" s="51" t="s">
        <v>18</v>
      </c>
      <c r="K9" s="47"/>
      <c r="L9" s="47">
        <f>L52</f>
        <v>78.13</v>
      </c>
      <c r="M9" s="47">
        <f>M52</f>
        <v>343.47</v>
      </c>
      <c r="N9" s="47">
        <f>N52</f>
        <v>1158.5999999999999</v>
      </c>
      <c r="O9" s="47">
        <f>O52</f>
        <v>259.86</v>
      </c>
    </row>
    <row r="10" spans="2:21" x14ac:dyDescent="0.3">
      <c r="B10" s="38" t="s">
        <v>130</v>
      </c>
      <c r="C10" s="47"/>
      <c r="D10" s="47"/>
      <c r="E10" s="38"/>
      <c r="F10" s="38"/>
      <c r="G10" s="38"/>
      <c r="H10" s="87" t="s">
        <v>163</v>
      </c>
      <c r="J10" s="51" t="s">
        <v>19</v>
      </c>
      <c r="K10" s="47"/>
      <c r="L10" s="47">
        <f>L41</f>
        <v>1125.4100000000001</v>
      </c>
      <c r="M10" s="47">
        <f>M41</f>
        <v>1724.61</v>
      </c>
      <c r="N10" s="47">
        <f>N41</f>
        <v>2441.87</v>
      </c>
      <c r="O10" s="47">
        <f>O41</f>
        <v>2902.25</v>
      </c>
    </row>
    <row r="11" spans="2:21" x14ac:dyDescent="0.3">
      <c r="B11" s="38" t="s">
        <v>129</v>
      </c>
      <c r="C11" s="38">
        <v>-500.49</v>
      </c>
      <c r="D11" s="38">
        <v>-79.45</v>
      </c>
      <c r="E11" s="38">
        <v>-195.87</v>
      </c>
      <c r="F11" s="38">
        <v>-274.23</v>
      </c>
      <c r="G11" s="38">
        <v>-1950.95</v>
      </c>
      <c r="H11" s="38">
        <v>-807.02</v>
      </c>
      <c r="J11" s="52" t="s">
        <v>20</v>
      </c>
      <c r="K11" s="44">
        <f>K9+K10</f>
        <v>0</v>
      </c>
      <c r="L11" s="44">
        <f>L9+L10</f>
        <v>1203.54</v>
      </c>
      <c r="M11" s="44">
        <f>M9+M10</f>
        <v>2068.08</v>
      </c>
      <c r="N11" s="44">
        <f>N9+N10</f>
        <v>3600.47</v>
      </c>
      <c r="O11" s="44">
        <f>O9+O10</f>
        <v>3162.11</v>
      </c>
    </row>
    <row r="12" spans="2:21" x14ac:dyDescent="0.3">
      <c r="B12" s="38" t="s">
        <v>131</v>
      </c>
      <c r="C12" s="38">
        <v>277.67</v>
      </c>
      <c r="D12" s="38">
        <v>238.27</v>
      </c>
      <c r="E12" s="38">
        <v>337.29</v>
      </c>
      <c r="F12" s="38">
        <v>397.15</v>
      </c>
      <c r="G12" s="38">
        <v>528.9</v>
      </c>
      <c r="H12" s="38">
        <v>142.83000000000001</v>
      </c>
      <c r="J12" s="52" t="s">
        <v>21</v>
      </c>
      <c r="K12" s="44">
        <f>+K7+K50</f>
        <v>1906.33</v>
      </c>
      <c r="L12" s="44">
        <f>+L7+L50</f>
        <v>2170.1999999999998</v>
      </c>
      <c r="M12" s="44">
        <f>+M7+M50</f>
        <v>2782.27</v>
      </c>
      <c r="N12" s="44">
        <f>+N7+N50</f>
        <v>4247.1899999999996</v>
      </c>
      <c r="O12" s="44">
        <f>+O7+O50</f>
        <v>8456.2899999999991</v>
      </c>
    </row>
    <row r="13" spans="2:21" x14ac:dyDescent="0.3">
      <c r="B13" s="38" t="s">
        <v>132</v>
      </c>
      <c r="C13" s="38">
        <v>337.75</v>
      </c>
      <c r="D13" s="38">
        <v>387.22</v>
      </c>
      <c r="E13" s="38">
        <v>458.01</v>
      </c>
      <c r="F13" s="38">
        <v>516.49</v>
      </c>
      <c r="G13" s="38">
        <v>755.29</v>
      </c>
      <c r="H13" s="38">
        <v>276.25</v>
      </c>
      <c r="J13" s="52" t="s">
        <v>21</v>
      </c>
      <c r="K13" s="44">
        <f>+K56-K39</f>
        <v>1906.3300000000002</v>
      </c>
      <c r="L13" s="44">
        <f>+L56-L39</f>
        <v>2170.1999999999998</v>
      </c>
      <c r="M13" s="44">
        <f>+M56-M39</f>
        <v>2782.2700000000004</v>
      </c>
      <c r="N13" s="44">
        <f>+N56-N39</f>
        <v>4247.1900000000014</v>
      </c>
      <c r="O13" s="44">
        <f>+O56-O39</f>
        <v>7994.4699999999975</v>
      </c>
      <c r="R13" s="67">
        <f>K12-K13</f>
        <v>0</v>
      </c>
      <c r="S13" s="67">
        <f t="shared" ref="S13:U13" si="3">L12-L13</f>
        <v>0</v>
      </c>
      <c r="T13" s="67">
        <f t="shared" si="3"/>
        <v>0</v>
      </c>
      <c r="U13" s="67">
        <f t="shared" si="3"/>
        <v>0</v>
      </c>
    </row>
    <row r="14" spans="2:21" x14ac:dyDescent="0.3">
      <c r="B14" s="36" t="s">
        <v>3</v>
      </c>
      <c r="C14" s="44">
        <f t="shared" ref="C14:H14" si="4">C5-C8</f>
        <v>494.11999999999898</v>
      </c>
      <c r="D14" s="44">
        <f t="shared" si="4"/>
        <v>499.00000000000182</v>
      </c>
      <c r="E14" s="44">
        <f t="shared" si="4"/>
        <v>714.61999999999898</v>
      </c>
      <c r="F14" s="44">
        <f t="shared" si="4"/>
        <v>1225.3399999999965</v>
      </c>
      <c r="G14" s="44">
        <f t="shared" si="4"/>
        <v>1921.2199999999975</v>
      </c>
      <c r="H14" s="44">
        <f t="shared" si="4"/>
        <v>743.73000000000138</v>
      </c>
      <c r="J14" s="38"/>
      <c r="K14" s="38"/>
      <c r="L14" s="38"/>
      <c r="M14" s="38"/>
      <c r="N14" s="38"/>
      <c r="O14" s="38"/>
    </row>
    <row r="15" spans="2:21" x14ac:dyDescent="0.3">
      <c r="B15" s="35" t="s">
        <v>0</v>
      </c>
      <c r="C15" s="45">
        <v>0</v>
      </c>
      <c r="D15" s="42">
        <f>D14/C14-1</f>
        <v>9.8761434469416542E-3</v>
      </c>
      <c r="E15" s="42">
        <f>E14/D14-1</f>
        <v>0.43210420841682651</v>
      </c>
      <c r="F15" s="42">
        <f>F14/E14-1</f>
        <v>0.71467353278665335</v>
      </c>
      <c r="G15" s="42">
        <f>G14/F14-1</f>
        <v>0.56790768276560222</v>
      </c>
      <c r="H15" s="87" t="s">
        <v>163</v>
      </c>
      <c r="J15" s="52" t="s">
        <v>23</v>
      </c>
      <c r="K15" s="44">
        <f>SUM(K16:K26)</f>
        <v>1195.55</v>
      </c>
      <c r="L15" s="44">
        <f>SUM(L16:L26)</f>
        <v>1227.5999999999999</v>
      </c>
      <c r="M15" s="44">
        <f>SUM(M16:M26)</f>
        <v>1552.39</v>
      </c>
      <c r="N15" s="44">
        <f>SUM(N16:N26)</f>
        <v>2699.81</v>
      </c>
      <c r="O15" s="44">
        <f>SUM(O16:O26)</f>
        <v>4333.07</v>
      </c>
    </row>
    <row r="16" spans="2:21" x14ac:dyDescent="0.3">
      <c r="B16" s="35" t="s">
        <v>1</v>
      </c>
      <c r="C16" s="45">
        <v>0</v>
      </c>
      <c r="D16" s="45">
        <v>0</v>
      </c>
      <c r="E16" s="45">
        <v>0</v>
      </c>
      <c r="F16" s="43">
        <f>+((F14/C14)^(1/3)-1)</f>
        <v>0.35355131784424865</v>
      </c>
      <c r="G16" s="43">
        <f>+((G14/D14)^(1/3)-1)</f>
        <v>0.56732424271977022</v>
      </c>
      <c r="H16" s="87" t="s">
        <v>163</v>
      </c>
      <c r="J16" s="51" t="s">
        <v>24</v>
      </c>
      <c r="K16" s="47">
        <v>877.83</v>
      </c>
      <c r="L16" s="47">
        <v>984.12</v>
      </c>
      <c r="M16" s="47">
        <v>1327.41</v>
      </c>
      <c r="N16" s="47">
        <v>1269.07</v>
      </c>
      <c r="O16" s="47">
        <v>3074.56</v>
      </c>
    </row>
    <row r="17" spans="2:20" x14ac:dyDescent="0.3">
      <c r="B17" s="53" t="s">
        <v>4</v>
      </c>
      <c r="C17" s="46">
        <f>C14/C5</f>
        <v>5.6756977172925341E-2</v>
      </c>
      <c r="D17" s="46">
        <f>D14/D5</f>
        <v>4.7548262916166581E-2</v>
      </c>
      <c r="E17" s="46">
        <f>E14/E5</f>
        <v>5.1678641032965295E-2</v>
      </c>
      <c r="F17" s="46">
        <f>F14/F5</f>
        <v>6.3545322209850708E-2</v>
      </c>
      <c r="G17" s="46">
        <f>G14/G5</f>
        <v>6.1835787974847449E-2</v>
      </c>
      <c r="H17" s="87" t="s">
        <v>163</v>
      </c>
      <c r="J17" s="51" t="s">
        <v>69</v>
      </c>
      <c r="K17" s="47">
        <v>105.57</v>
      </c>
      <c r="L17" s="47">
        <v>94.21</v>
      </c>
      <c r="M17" s="47">
        <v>74.23</v>
      </c>
      <c r="N17" s="47">
        <v>1077.5999999999999</v>
      </c>
      <c r="O17" s="47">
        <v>520.77</v>
      </c>
    </row>
    <row r="18" spans="2:20" x14ac:dyDescent="0.3">
      <c r="B18" s="38" t="s">
        <v>133</v>
      </c>
      <c r="C18" s="38">
        <v>58.8</v>
      </c>
      <c r="D18" s="38">
        <v>71.349999999999994</v>
      </c>
      <c r="E18" s="38">
        <v>76.8</v>
      </c>
      <c r="F18" s="38">
        <v>98.97</v>
      </c>
      <c r="G18" s="38">
        <v>214.11</v>
      </c>
      <c r="H18" s="38">
        <v>81.87</v>
      </c>
      <c r="J18" s="51" t="s">
        <v>140</v>
      </c>
      <c r="K18" s="47">
        <v>93.29</v>
      </c>
      <c r="L18" s="47">
        <v>72.83</v>
      </c>
      <c r="M18" s="47">
        <v>56.68</v>
      </c>
      <c r="N18" s="47">
        <v>51.12</v>
      </c>
      <c r="O18" s="47">
        <v>43.33</v>
      </c>
    </row>
    <row r="19" spans="2:20" x14ac:dyDescent="0.3">
      <c r="B19" s="38" t="s">
        <v>134</v>
      </c>
      <c r="C19" s="38">
        <v>60.19</v>
      </c>
      <c r="D19" s="38">
        <v>81.91</v>
      </c>
      <c r="E19" s="38">
        <v>109.54</v>
      </c>
      <c r="F19" s="38">
        <v>140.02000000000001</v>
      </c>
      <c r="G19" s="38">
        <v>219.4</v>
      </c>
      <c r="H19" s="38">
        <v>83.84</v>
      </c>
      <c r="J19" s="51" t="s">
        <v>141</v>
      </c>
      <c r="K19" s="47">
        <v>0.1</v>
      </c>
      <c r="L19" s="47">
        <v>17.260000000000002</v>
      </c>
      <c r="M19" s="47">
        <v>13.22</v>
      </c>
      <c r="N19" s="47">
        <v>10.48</v>
      </c>
      <c r="O19" s="47">
        <v>7.72</v>
      </c>
    </row>
    <row r="20" spans="2:20" x14ac:dyDescent="0.3">
      <c r="B20" s="38" t="s">
        <v>135</v>
      </c>
      <c r="C20" s="38">
        <v>87.33</v>
      </c>
      <c r="D20" s="68">
        <v>133.74</v>
      </c>
      <c r="E20" s="38">
        <v>175.7</v>
      </c>
      <c r="F20" s="38">
        <v>279.99</v>
      </c>
      <c r="G20" s="38">
        <v>440.4</v>
      </c>
      <c r="H20" s="38">
        <v>172.81</v>
      </c>
      <c r="J20" s="69" t="s">
        <v>25</v>
      </c>
      <c r="K20" s="47"/>
      <c r="L20" s="47"/>
      <c r="M20" s="47"/>
      <c r="N20" s="47"/>
      <c r="O20" s="47"/>
    </row>
    <row r="21" spans="2:20" x14ac:dyDescent="0.3">
      <c r="B21" s="36" t="s">
        <v>6</v>
      </c>
      <c r="C21" s="44">
        <f>C14+C18-C19-C20</f>
        <v>405.39999999999895</v>
      </c>
      <c r="D21" s="44">
        <f>D14+D18-D19-D20</f>
        <v>354.70000000000186</v>
      </c>
      <c r="E21" s="44">
        <f>E14+E18-E19-E20</f>
        <v>506.17999999999898</v>
      </c>
      <c r="F21" s="44">
        <f>F14+F18-F19-F20</f>
        <v>904.29999999999654</v>
      </c>
      <c r="G21" s="44">
        <f>G14+G18-G19-G20-16.38</f>
        <v>1459.1499999999974</v>
      </c>
      <c r="H21" s="44">
        <f>H14-H19-H20+H18</f>
        <v>568.95000000000141</v>
      </c>
      <c r="J21" s="51" t="s">
        <v>165</v>
      </c>
      <c r="K21" s="47"/>
      <c r="L21" s="47"/>
      <c r="M21" s="47"/>
      <c r="N21" s="47"/>
      <c r="O21" s="47"/>
      <c r="Q21" s="34"/>
    </row>
    <row r="22" spans="2:20" x14ac:dyDescent="0.3">
      <c r="B22" s="38" t="s">
        <v>7</v>
      </c>
      <c r="C22" s="47">
        <v>129.69999999999999</v>
      </c>
      <c r="D22" s="47">
        <v>88.57</v>
      </c>
      <c r="E22" s="47">
        <v>132.69</v>
      </c>
      <c r="F22" s="47">
        <v>224.42</v>
      </c>
      <c r="G22" s="47">
        <v>357.89</v>
      </c>
      <c r="H22" s="47">
        <v>146.75</v>
      </c>
      <c r="J22" s="51" t="s">
        <v>142</v>
      </c>
      <c r="K22" s="47"/>
      <c r="L22" s="47"/>
      <c r="M22" s="47"/>
      <c r="N22" s="47"/>
      <c r="O22" s="47"/>
    </row>
    <row r="23" spans="2:20" x14ac:dyDescent="0.3">
      <c r="B23" s="35" t="s">
        <v>8</v>
      </c>
      <c r="C23" s="48">
        <f>C22/C21</f>
        <v>0.31993093241243298</v>
      </c>
      <c r="D23" s="48">
        <f>D22/D21</f>
        <v>0.24970397519030033</v>
      </c>
      <c r="E23" s="48">
        <f>E22/E21</f>
        <v>0.26213995021533892</v>
      </c>
      <c r="F23" s="48">
        <f>-F22/F21</f>
        <v>-0.24816985513657067</v>
      </c>
      <c r="G23" s="48">
        <f>-G22/G21</f>
        <v>-0.2452729328718779</v>
      </c>
      <c r="H23" s="48">
        <f>-H22/H21</f>
        <v>-0.25793127691361217</v>
      </c>
      <c r="J23" s="51" t="s">
        <v>139</v>
      </c>
      <c r="K23" s="47">
        <v>116.16</v>
      </c>
      <c r="L23" s="47">
        <v>19.22</v>
      </c>
      <c r="M23" s="47">
        <v>23.29</v>
      </c>
      <c r="N23" s="47">
        <v>36.369999999999997</v>
      </c>
      <c r="O23" s="47">
        <v>128.22999999999999</v>
      </c>
      <c r="R23" s="34"/>
      <c r="S23" s="34"/>
      <c r="T23" s="34"/>
    </row>
    <row r="24" spans="2:20" x14ac:dyDescent="0.3">
      <c r="B24" s="36" t="s">
        <v>9</v>
      </c>
      <c r="C24" s="44">
        <f>C21-C22</f>
        <v>275.69999999999897</v>
      </c>
      <c r="D24" s="36">
        <f>D21-D22</f>
        <v>266.13000000000187</v>
      </c>
      <c r="E24" s="44">
        <f>E21-E22</f>
        <v>373.48999999999899</v>
      </c>
      <c r="F24" s="44">
        <f t="shared" ref="F24:G24" si="5">F21-F22</f>
        <v>679.87999999999658</v>
      </c>
      <c r="G24" s="44">
        <f t="shared" si="5"/>
        <v>1101.2599999999975</v>
      </c>
      <c r="H24" s="44">
        <v>422.2</v>
      </c>
      <c r="J24" s="51" t="s">
        <v>143</v>
      </c>
      <c r="K24" s="47"/>
      <c r="L24" s="47"/>
      <c r="M24" s="47"/>
      <c r="N24" s="47"/>
      <c r="O24" s="47"/>
    </row>
    <row r="25" spans="2:20" x14ac:dyDescent="0.3">
      <c r="B25" s="53" t="s">
        <v>10</v>
      </c>
      <c r="C25" s="46">
        <f t="shared" ref="C25:H25" si="6">C24/C5</f>
        <v>3.1668215426567413E-2</v>
      </c>
      <c r="D25" s="46">
        <f t="shared" si="6"/>
        <v>2.5358755931622155E-2</v>
      </c>
      <c r="E25" s="46">
        <f t="shared" si="6"/>
        <v>2.7009397497134397E-2</v>
      </c>
      <c r="F25" s="46">
        <f t="shared" si="6"/>
        <v>3.5258127265928807E-2</v>
      </c>
      <c r="G25" s="46">
        <f t="shared" si="6"/>
        <v>3.5444811039433505E-2</v>
      </c>
      <c r="H25" s="46">
        <f t="shared" si="6"/>
        <v>3.6264156291470361E-2</v>
      </c>
      <c r="J25" s="51" t="s">
        <v>144</v>
      </c>
      <c r="K25" s="47"/>
      <c r="L25" s="47"/>
      <c r="M25" s="47"/>
      <c r="N25" s="47"/>
      <c r="O25" s="47"/>
    </row>
    <row r="26" spans="2:20" x14ac:dyDescent="0.3">
      <c r="B26" s="35" t="s">
        <v>1</v>
      </c>
      <c r="C26" s="45">
        <v>0</v>
      </c>
      <c r="D26" s="45">
        <v>0</v>
      </c>
      <c r="E26" s="45">
        <v>0</v>
      </c>
      <c r="F26" s="43">
        <f>+((F24/C24)^(1/3)-1)</f>
        <v>0.35103054062122196</v>
      </c>
      <c r="G26" s="43">
        <f>+((G24/D24)^(1/3)-1)</f>
        <v>0.60545699616482773</v>
      </c>
      <c r="H26" s="87" t="s">
        <v>163</v>
      </c>
      <c r="J26" s="51" t="s">
        <v>145</v>
      </c>
      <c r="K26" s="47">
        <v>2.6</v>
      </c>
      <c r="L26" s="47">
        <v>39.96</v>
      </c>
      <c r="M26" s="47">
        <v>57.56</v>
      </c>
      <c r="N26" s="47">
        <v>255.17</v>
      </c>
      <c r="O26" s="47">
        <v>558.46</v>
      </c>
    </row>
    <row r="27" spans="2:20" x14ac:dyDescent="0.3">
      <c r="B27" s="38" t="s">
        <v>12</v>
      </c>
      <c r="C27" s="38">
        <v>1.44</v>
      </c>
      <c r="D27" s="38">
        <v>0.19</v>
      </c>
      <c r="E27" s="38">
        <v>-0.59</v>
      </c>
      <c r="F27" s="38">
        <v>-3.88</v>
      </c>
      <c r="G27" s="38">
        <v>1.37</v>
      </c>
      <c r="H27" s="38">
        <v>0.37</v>
      </c>
      <c r="J27" s="38"/>
      <c r="K27" s="38"/>
      <c r="L27" s="38"/>
      <c r="M27" s="38"/>
      <c r="N27" s="38"/>
      <c r="O27" s="38"/>
    </row>
    <row r="28" spans="2:20" x14ac:dyDescent="0.3">
      <c r="B28" s="36" t="s">
        <v>164</v>
      </c>
      <c r="C28" s="44">
        <f t="shared" ref="C28:H28" si="7">C24+C27</f>
        <v>277.13999999999896</v>
      </c>
      <c r="D28" s="36">
        <f t="shared" si="7"/>
        <v>266.32000000000187</v>
      </c>
      <c r="E28" s="44">
        <f t="shared" si="7"/>
        <v>372.89999999999901</v>
      </c>
      <c r="F28" s="44">
        <f t="shared" si="7"/>
        <v>675.99999999999659</v>
      </c>
      <c r="G28" s="44">
        <f t="shared" si="7"/>
        <v>1102.6299999999974</v>
      </c>
      <c r="H28" s="44">
        <f t="shared" si="7"/>
        <v>422.57</v>
      </c>
      <c r="J28" s="52" t="s">
        <v>26</v>
      </c>
      <c r="K28" s="44">
        <f>SUM(K29:K37)</f>
        <v>2588.4200000000005</v>
      </c>
      <c r="L28" s="44">
        <f t="shared" ref="L28" si="8">SUM(L29:L37)</f>
        <v>2364.1600000000003</v>
      </c>
      <c r="M28" s="44">
        <f>SUM(M29:M37)</f>
        <v>3274.6900000000005</v>
      </c>
      <c r="N28" s="44">
        <f>SUM(N29:N37)</f>
        <v>4749.3200000000006</v>
      </c>
      <c r="O28" s="44">
        <f>SUM(O29:O36)</f>
        <v>8430.7699999999986</v>
      </c>
    </row>
    <row r="29" spans="2:20" x14ac:dyDescent="0.3">
      <c r="B29" s="35" t="s">
        <v>0</v>
      </c>
      <c r="C29" s="45">
        <v>0</v>
      </c>
      <c r="D29" s="42">
        <f>D28/C28-1</f>
        <v>-3.9041639604521672E-2</v>
      </c>
      <c r="E29" s="42">
        <f>E28/D28-1</f>
        <v>0.40019525382996535</v>
      </c>
      <c r="F29" s="42">
        <f>F28/E28-1</f>
        <v>0.81281844998658714</v>
      </c>
      <c r="G29" s="42">
        <f>G28/F28-1</f>
        <v>0.63110946745562568</v>
      </c>
      <c r="H29" s="87" t="s">
        <v>163</v>
      </c>
      <c r="J29" s="51" t="s">
        <v>27</v>
      </c>
      <c r="K29" s="47">
        <v>1014.9</v>
      </c>
      <c r="L29" s="47">
        <v>1094.42</v>
      </c>
      <c r="M29" s="47">
        <v>1328.95</v>
      </c>
      <c r="N29" s="47">
        <v>2110.19</v>
      </c>
      <c r="O29" s="47">
        <v>4249.1899999999996</v>
      </c>
    </row>
    <row r="30" spans="2:20" x14ac:dyDescent="0.3">
      <c r="B30" s="35" t="s">
        <v>1</v>
      </c>
      <c r="C30" s="45">
        <v>0</v>
      </c>
      <c r="D30" s="45">
        <v>0</v>
      </c>
      <c r="E30" s="45">
        <v>0</v>
      </c>
      <c r="F30" s="43">
        <f t="shared" ref="F30" si="9">+((F28/C28)^(1/3)-1)</f>
        <v>0.34611602513260675</v>
      </c>
      <c r="G30" s="43">
        <f>+((G28/D28)^(1/3)-1)</f>
        <v>0.60574042412121298</v>
      </c>
      <c r="H30" s="87" t="s">
        <v>163</v>
      </c>
      <c r="J30" s="69" t="s">
        <v>25</v>
      </c>
      <c r="K30" s="47"/>
      <c r="L30" s="47"/>
      <c r="M30" s="47"/>
      <c r="N30" s="47"/>
      <c r="O30" s="47"/>
    </row>
    <row r="31" spans="2:20" x14ac:dyDescent="0.3">
      <c r="B31" s="54" t="s">
        <v>13</v>
      </c>
      <c r="C31" s="49"/>
      <c r="D31" s="49"/>
      <c r="E31" s="49"/>
      <c r="F31" s="49"/>
      <c r="G31" s="49"/>
      <c r="H31" s="49"/>
      <c r="J31" s="51" t="s">
        <v>121</v>
      </c>
      <c r="K31" s="47"/>
      <c r="L31" s="47"/>
      <c r="M31" s="47"/>
      <c r="N31" s="47"/>
      <c r="O31" s="47"/>
    </row>
    <row r="32" spans="2:20" x14ac:dyDescent="0.3">
      <c r="B32" s="38" t="s">
        <v>136</v>
      </c>
      <c r="C32" s="47">
        <v>4.8499999999999996</v>
      </c>
      <c r="D32" s="47">
        <v>4.68</v>
      </c>
      <c r="E32" s="47">
        <v>6.57</v>
      </c>
      <c r="F32" s="47">
        <v>11.97</v>
      </c>
      <c r="G32" s="47">
        <v>18.38</v>
      </c>
      <c r="H32" s="47">
        <v>6.23</v>
      </c>
      <c r="J32" s="55" t="s">
        <v>28</v>
      </c>
      <c r="K32" s="47">
        <v>1307.8900000000001</v>
      </c>
      <c r="L32" s="47">
        <v>1094.48</v>
      </c>
      <c r="M32" s="47">
        <v>1591.55</v>
      </c>
      <c r="N32" s="47">
        <v>2239.13</v>
      </c>
      <c r="O32" s="47">
        <v>3327.11</v>
      </c>
    </row>
    <row r="33" spans="2:19" x14ac:dyDescent="0.3">
      <c r="B33" s="38" t="s">
        <v>137</v>
      </c>
      <c r="C33" s="47">
        <v>4.8499999999999996</v>
      </c>
      <c r="D33" s="47">
        <v>4.68</v>
      </c>
      <c r="E33" s="47">
        <v>6.57</v>
      </c>
      <c r="F33" s="47">
        <v>11.97</v>
      </c>
      <c r="G33" s="47">
        <v>18.37</v>
      </c>
      <c r="H33" s="47">
        <v>6.22</v>
      </c>
      <c r="J33" s="55" t="s">
        <v>29</v>
      </c>
      <c r="K33" s="47">
        <v>27.15</v>
      </c>
      <c r="L33" s="47">
        <v>42.28</v>
      </c>
      <c r="M33" s="47">
        <v>156.21</v>
      </c>
      <c r="N33" s="47">
        <v>103.67</v>
      </c>
      <c r="O33" s="47">
        <v>721.16</v>
      </c>
    </row>
    <row r="34" spans="2:19" x14ac:dyDescent="0.3">
      <c r="B34" s="39" t="s">
        <v>0</v>
      </c>
      <c r="C34" s="45">
        <v>0</v>
      </c>
      <c r="D34" s="42">
        <f>D33/C33-1</f>
        <v>-3.5051546391752564E-2</v>
      </c>
      <c r="E34" s="42">
        <f>E33/D33-1</f>
        <v>0.40384615384615397</v>
      </c>
      <c r="F34" s="42">
        <f>F33/E33-1</f>
        <v>0.82191780821917804</v>
      </c>
      <c r="G34" s="42">
        <f>G33/F33-1</f>
        <v>0.53467000835421885</v>
      </c>
      <c r="H34" s="87" t="s">
        <v>163</v>
      </c>
      <c r="J34" s="55" t="s">
        <v>30</v>
      </c>
      <c r="K34" s="47">
        <v>43.26</v>
      </c>
      <c r="L34" s="47">
        <v>25.88</v>
      </c>
      <c r="M34" s="47">
        <v>21.42</v>
      </c>
      <c r="N34" s="47">
        <v>6.39</v>
      </c>
      <c r="O34" s="47">
        <v>123.66</v>
      </c>
    </row>
    <row r="35" spans="2:19" x14ac:dyDescent="0.3">
      <c r="B35" s="39" t="s">
        <v>1</v>
      </c>
      <c r="C35" s="45">
        <v>0</v>
      </c>
      <c r="D35" s="45">
        <v>0</v>
      </c>
      <c r="E35" s="45">
        <v>0</v>
      </c>
      <c r="F35" s="43">
        <f>+((F33/C33)^(1/3)-1)</f>
        <v>0.35140069291371545</v>
      </c>
      <c r="G35" s="43">
        <f>+((G33/D33)^(1/3)-1)</f>
        <v>0.5774457575422558</v>
      </c>
      <c r="H35" s="87" t="s">
        <v>163</v>
      </c>
      <c r="J35" s="55" t="s">
        <v>31</v>
      </c>
      <c r="K35" s="47"/>
      <c r="L35" s="47"/>
      <c r="M35" s="47"/>
      <c r="N35" s="47"/>
      <c r="O35" s="47"/>
    </row>
    <row r="36" spans="2:19" x14ac:dyDescent="0.3">
      <c r="J36" s="51" t="s">
        <v>122</v>
      </c>
      <c r="K36" s="47">
        <v>0.05</v>
      </c>
      <c r="L36" s="47">
        <v>1.02</v>
      </c>
      <c r="M36" s="47">
        <v>1.01</v>
      </c>
      <c r="N36" s="47">
        <v>1.26</v>
      </c>
      <c r="O36" s="47">
        <v>9.65</v>
      </c>
      <c r="R36" s="80"/>
    </row>
    <row r="37" spans="2:19" x14ac:dyDescent="0.3">
      <c r="B37" s="72" t="s">
        <v>158</v>
      </c>
      <c r="C37" s="71" t="s">
        <v>72</v>
      </c>
      <c r="D37" s="71" t="s">
        <v>124</v>
      </c>
      <c r="E37" s="71" t="s">
        <v>126</v>
      </c>
      <c r="F37" s="71" t="s">
        <v>127</v>
      </c>
      <c r="G37" s="71" t="s">
        <v>167</v>
      </c>
      <c r="J37" s="51" t="s">
        <v>32</v>
      </c>
      <c r="K37" s="47">
        <v>195.17</v>
      </c>
      <c r="L37" s="47">
        <v>106.08</v>
      </c>
      <c r="M37" s="47">
        <v>175.55</v>
      </c>
      <c r="N37" s="47">
        <v>288.68</v>
      </c>
      <c r="O37" s="47">
        <v>461.82</v>
      </c>
    </row>
    <row r="38" spans="2:19" x14ac:dyDescent="0.3">
      <c r="B38" s="56" t="s">
        <v>55</v>
      </c>
      <c r="C38" s="79">
        <v>129.88999999999999</v>
      </c>
      <c r="D38" s="63">
        <v>27.15</v>
      </c>
      <c r="E38" s="63">
        <v>42.28</v>
      </c>
      <c r="F38" s="63">
        <v>156.21</v>
      </c>
      <c r="G38" s="63">
        <f>F43</f>
        <v>103.68000000000019</v>
      </c>
      <c r="J38" s="38"/>
      <c r="K38" s="38"/>
      <c r="L38" s="38"/>
      <c r="M38" s="38"/>
      <c r="N38" s="38"/>
      <c r="O38" s="38"/>
    </row>
    <row r="39" spans="2:19" x14ac:dyDescent="0.3">
      <c r="B39" s="38" t="s">
        <v>56</v>
      </c>
      <c r="C39" s="47">
        <v>-418.77</v>
      </c>
      <c r="D39" s="47">
        <v>620.89</v>
      </c>
      <c r="E39" s="47">
        <v>-172.32</v>
      </c>
      <c r="F39" s="47">
        <v>-97.74</v>
      </c>
      <c r="G39" s="47">
        <v>-649.70000000000005</v>
      </c>
      <c r="J39" s="52" t="s">
        <v>33</v>
      </c>
      <c r="K39" s="44">
        <f>SUM(K40:K47)</f>
        <v>1877.64</v>
      </c>
      <c r="L39" s="44">
        <f>SUM(L40:L47)</f>
        <v>1421.5600000000002</v>
      </c>
      <c r="M39" s="44">
        <f>SUM(M40:M47)</f>
        <v>2044.8100000000002</v>
      </c>
      <c r="N39" s="44">
        <f>SUM(N40:N47)</f>
        <v>3201.9399999999996</v>
      </c>
      <c r="O39" s="44">
        <f>SUM(O40:O47)</f>
        <v>4769.3700000000008</v>
      </c>
    </row>
    <row r="40" spans="2:19" x14ac:dyDescent="0.3">
      <c r="B40" s="38" t="s">
        <v>57</v>
      </c>
      <c r="C40" s="47">
        <v>-201.47</v>
      </c>
      <c r="D40" s="47">
        <v>-199.87</v>
      </c>
      <c r="E40" s="47">
        <v>-388.09</v>
      </c>
      <c r="F40" s="47">
        <v>-1183.6199999999999</v>
      </c>
      <c r="G40" s="47">
        <v>-1791.06</v>
      </c>
      <c r="J40" s="69" t="s">
        <v>146</v>
      </c>
      <c r="K40" s="47"/>
      <c r="L40" s="47"/>
      <c r="M40" s="47"/>
      <c r="N40" s="47"/>
      <c r="O40" s="47"/>
      <c r="Q40" s="34"/>
      <c r="R40" s="34"/>
      <c r="S40" s="34"/>
    </row>
    <row r="41" spans="2:19" x14ac:dyDescent="0.3">
      <c r="B41" s="38" t="s">
        <v>58</v>
      </c>
      <c r="C41" s="47">
        <v>517.5</v>
      </c>
      <c r="D41" s="47">
        <v>-406.07</v>
      </c>
      <c r="E41" s="47">
        <v>674.32</v>
      </c>
      <c r="F41" s="47">
        <v>1228.9100000000001</v>
      </c>
      <c r="G41" s="47">
        <v>3058.24</v>
      </c>
      <c r="J41" s="51" t="s">
        <v>147</v>
      </c>
      <c r="K41" s="47">
        <v>1391.54</v>
      </c>
      <c r="L41" s="47">
        <v>1125.4100000000001</v>
      </c>
      <c r="M41" s="47">
        <v>1724.61</v>
      </c>
      <c r="N41" s="47">
        <v>2441.87</v>
      </c>
      <c r="O41" s="47">
        <v>2902.25</v>
      </c>
    </row>
    <row r="42" spans="2:19" x14ac:dyDescent="0.3">
      <c r="B42" s="62" t="s">
        <v>59</v>
      </c>
      <c r="C42" s="66">
        <f>C39+C40+C41</f>
        <v>-102.74000000000001</v>
      </c>
      <c r="D42" s="66">
        <f>D39+D40+D41+0.19</f>
        <v>15.139999999999988</v>
      </c>
      <c r="E42" s="66">
        <f t="shared" ref="E42" si="10">E39+E40+E41</f>
        <v>113.91000000000008</v>
      </c>
      <c r="F42" s="66">
        <f>F39+F40+F41-0.08</f>
        <v>-52.529999999999816</v>
      </c>
      <c r="G42" s="66">
        <f>G39+G40+G41</f>
        <v>617.47999999999956</v>
      </c>
      <c r="J42" s="51" t="s">
        <v>148</v>
      </c>
      <c r="K42" s="47">
        <f>28.61+273.35</f>
        <v>301.96000000000004</v>
      </c>
      <c r="L42" s="47">
        <f>31.25+167.72</f>
        <v>198.97</v>
      </c>
      <c r="M42" s="47">
        <f>30.41+154.23</f>
        <v>184.64</v>
      </c>
      <c r="N42" s="47">
        <f>35.34+289.94</f>
        <v>325.27999999999997</v>
      </c>
      <c r="O42" s="47">
        <f>67.98+1167.36</f>
        <v>1235.3399999999999</v>
      </c>
    </row>
    <row r="43" spans="2:19" x14ac:dyDescent="0.3">
      <c r="B43" s="36" t="s">
        <v>60</v>
      </c>
      <c r="C43" s="44">
        <f>C38+C42</f>
        <v>27.149999999999977</v>
      </c>
      <c r="D43" s="36">
        <f>D38+D42</f>
        <v>42.289999999999985</v>
      </c>
      <c r="E43" s="44">
        <f>E38+E42</f>
        <v>156.19000000000008</v>
      </c>
      <c r="F43" s="44">
        <f>F38+F42</f>
        <v>103.68000000000019</v>
      </c>
      <c r="G43" s="44">
        <f>G38+G42</f>
        <v>721.15999999999974</v>
      </c>
      <c r="J43" s="51" t="s">
        <v>149</v>
      </c>
      <c r="K43" s="47">
        <f>103.45+17.61</f>
        <v>121.06</v>
      </c>
      <c r="L43" s="47">
        <f>15.38+27.73</f>
        <v>43.11</v>
      </c>
      <c r="M43" s="47">
        <f>50.19+25.98</f>
        <v>76.17</v>
      </c>
      <c r="N43" s="47">
        <v>133.46</v>
      </c>
      <c r="O43" s="47">
        <v>317.3</v>
      </c>
    </row>
    <row r="44" spans="2:19" x14ac:dyDescent="0.3">
      <c r="B44" s="72" t="s">
        <v>156</v>
      </c>
      <c r="C44" s="71" t="s">
        <v>72</v>
      </c>
      <c r="D44" s="71" t="s">
        <v>124</v>
      </c>
      <c r="E44" s="71" t="s">
        <v>126</v>
      </c>
      <c r="F44" s="71" t="s">
        <v>127</v>
      </c>
      <c r="G44" s="71" t="s">
        <v>167</v>
      </c>
      <c r="J44" s="51" t="s">
        <v>169</v>
      </c>
      <c r="K44" s="47"/>
      <c r="L44" s="47"/>
      <c r="M44" s="47"/>
      <c r="N44" s="47">
        <v>33.25</v>
      </c>
      <c r="O44" s="47">
        <v>26.43</v>
      </c>
    </row>
    <row r="45" spans="2:19" x14ac:dyDescent="0.3">
      <c r="B45" s="50" t="s">
        <v>61</v>
      </c>
      <c r="C45" s="47">
        <f>C39</f>
        <v>-418.77</v>
      </c>
      <c r="D45" s="47">
        <f>D39</f>
        <v>620.89</v>
      </c>
      <c r="E45" s="47">
        <f>E39</f>
        <v>-172.32</v>
      </c>
      <c r="F45" s="41">
        <f>F39</f>
        <v>-97.74</v>
      </c>
      <c r="G45" s="41">
        <f>G39</f>
        <v>-649.70000000000005</v>
      </c>
      <c r="J45" s="51" t="s">
        <v>150</v>
      </c>
      <c r="K45" s="47">
        <v>11.49</v>
      </c>
      <c r="L45" s="47">
        <v>10.69</v>
      </c>
      <c r="M45" s="47">
        <v>22.38</v>
      </c>
      <c r="N45" s="47">
        <v>51.63</v>
      </c>
      <c r="O45" s="47">
        <v>74.84</v>
      </c>
    </row>
    <row r="46" spans="2:19" x14ac:dyDescent="0.3">
      <c r="B46" s="50" t="s">
        <v>62</v>
      </c>
      <c r="C46" s="47"/>
      <c r="D46" s="47"/>
      <c r="E46" s="47"/>
      <c r="F46" s="38">
        <f>-1201.58</f>
        <v>-1201.58</v>
      </c>
      <c r="G46" s="38">
        <f>-1627.97+0.02</f>
        <v>-1627.95</v>
      </c>
      <c r="J46" s="51" t="s">
        <v>70</v>
      </c>
      <c r="K46" s="47">
        <v>3.92</v>
      </c>
      <c r="L46" s="47">
        <v>5.17</v>
      </c>
      <c r="M46" s="47">
        <v>4.75</v>
      </c>
      <c r="N46" s="47">
        <v>9.7100000000000009</v>
      </c>
      <c r="O46" s="47">
        <v>22.94</v>
      </c>
    </row>
    <row r="47" spans="2:19" x14ac:dyDescent="0.3">
      <c r="B47" s="61" t="s">
        <v>155</v>
      </c>
      <c r="C47" s="44">
        <f>C45+C46</f>
        <v>-418.77</v>
      </c>
      <c r="D47" s="44">
        <f t="shared" ref="D47:F47" si="11">D45+D46</f>
        <v>620.89</v>
      </c>
      <c r="E47" s="44">
        <f t="shared" si="11"/>
        <v>-172.32</v>
      </c>
      <c r="F47" s="44">
        <f t="shared" si="11"/>
        <v>-1299.32</v>
      </c>
      <c r="G47" s="44">
        <f>G45+G46</f>
        <v>-2277.65</v>
      </c>
      <c r="J47" s="51" t="s">
        <v>151</v>
      </c>
      <c r="K47" s="47">
        <v>47.67</v>
      </c>
      <c r="L47" s="47">
        <v>38.21</v>
      </c>
      <c r="M47" s="47">
        <v>32.26</v>
      </c>
      <c r="N47" s="47">
        <v>206.74</v>
      </c>
      <c r="O47" s="47">
        <v>190.27</v>
      </c>
      <c r="Q47" s="34"/>
      <c r="R47" s="34"/>
      <c r="S47" s="34"/>
    </row>
    <row r="48" spans="2:19" x14ac:dyDescent="0.3">
      <c r="J48" s="52" t="s">
        <v>34</v>
      </c>
      <c r="K48" s="44">
        <f>K28-K39</f>
        <v>710.78000000000043</v>
      </c>
      <c r="L48" s="44">
        <f>L28-L39</f>
        <v>942.60000000000014</v>
      </c>
      <c r="M48" s="44">
        <f>M28-M39</f>
        <v>1229.8800000000003</v>
      </c>
      <c r="N48" s="44">
        <f>N28-N39</f>
        <v>1547.380000000001</v>
      </c>
      <c r="O48" s="44">
        <f>O28-O39</f>
        <v>3661.3999999999978</v>
      </c>
    </row>
    <row r="49" spans="2:20" x14ac:dyDescent="0.3">
      <c r="B49" s="72" t="s">
        <v>160</v>
      </c>
      <c r="C49" s="71" t="s">
        <v>72</v>
      </c>
      <c r="D49" s="71" t="s">
        <v>124</v>
      </c>
      <c r="E49" s="71" t="s">
        <v>126</v>
      </c>
      <c r="F49" s="71" t="s">
        <v>127</v>
      </c>
      <c r="G49" s="71" t="s">
        <v>167</v>
      </c>
      <c r="J49" s="38"/>
      <c r="K49" s="38"/>
      <c r="L49" s="38"/>
      <c r="M49" s="38"/>
      <c r="N49" s="38"/>
      <c r="O49" s="38"/>
    </row>
    <row r="50" spans="2:20" x14ac:dyDescent="0.3">
      <c r="B50" s="28" t="s">
        <v>64</v>
      </c>
      <c r="C50" s="63"/>
      <c r="D50" s="65"/>
      <c r="E50" s="65"/>
      <c r="F50" s="78"/>
      <c r="G50" s="78">
        <v>67755700</v>
      </c>
      <c r="J50" s="52" t="s">
        <v>123</v>
      </c>
      <c r="K50" s="44">
        <f>SUM(K52:K55)</f>
        <v>236.1</v>
      </c>
      <c r="L50" s="44">
        <f>SUM(L52:L55)</f>
        <v>233.65</v>
      </c>
      <c r="M50" s="44">
        <f>SUM(M52:M55)</f>
        <v>472.81</v>
      </c>
      <c r="N50" s="44">
        <f>SUM(N52:N55)</f>
        <v>1261.7299999999998</v>
      </c>
      <c r="O50" s="44">
        <f>SUM(O52:O55)</f>
        <v>375.28</v>
      </c>
    </row>
    <row r="51" spans="2:20" x14ac:dyDescent="0.3">
      <c r="B51" s="57" t="s">
        <v>125</v>
      </c>
      <c r="C51" s="64">
        <f>C50*K60/1000000</f>
        <v>0</v>
      </c>
      <c r="D51" s="88" t="s">
        <v>163</v>
      </c>
      <c r="E51" s="88" t="s">
        <v>163</v>
      </c>
      <c r="F51" s="88" t="s">
        <v>163</v>
      </c>
      <c r="G51" s="75">
        <f>(G50/1000000)*P60</f>
        <v>58520.598090000007</v>
      </c>
      <c r="H51">
        <f>G50/1000000</f>
        <v>67.755700000000004</v>
      </c>
      <c r="J51" s="69" t="s">
        <v>152</v>
      </c>
      <c r="K51" s="47"/>
      <c r="L51" s="47"/>
      <c r="M51" s="47"/>
      <c r="N51" s="47"/>
      <c r="O51" s="47"/>
    </row>
    <row r="52" spans="2:20" x14ac:dyDescent="0.3">
      <c r="B52" s="38" t="s">
        <v>66</v>
      </c>
      <c r="C52" s="47">
        <f>K11</f>
        <v>0</v>
      </c>
      <c r="D52" s="47">
        <f>L11</f>
        <v>1203.54</v>
      </c>
      <c r="E52" s="47">
        <f>M11</f>
        <v>2068.08</v>
      </c>
      <c r="F52" s="47">
        <f>N11</f>
        <v>3600.47</v>
      </c>
      <c r="G52" s="75">
        <f>O11</f>
        <v>3162.11</v>
      </c>
      <c r="H52" s="21">
        <f>P60*H51</f>
        <v>58520.598090000007</v>
      </c>
      <c r="J52" s="51" t="s">
        <v>153</v>
      </c>
      <c r="K52" s="47">
        <v>71.02</v>
      </c>
      <c r="L52" s="47">
        <v>78.13</v>
      </c>
      <c r="M52" s="47">
        <v>343.47</v>
      </c>
      <c r="N52" s="47">
        <v>1158.5999999999999</v>
      </c>
      <c r="O52" s="47">
        <v>259.86</v>
      </c>
    </row>
    <row r="53" spans="2:20" x14ac:dyDescent="0.3">
      <c r="B53" s="38" t="s">
        <v>67</v>
      </c>
      <c r="C53" s="47">
        <f>SUM(K33:K34)</f>
        <v>70.41</v>
      </c>
      <c r="D53" s="47">
        <f>SUM(L33:L34)</f>
        <v>68.16</v>
      </c>
      <c r="E53" s="47">
        <f>SUM(M33:M34)</f>
        <v>177.63</v>
      </c>
      <c r="F53" s="47">
        <f>SUM(N33:N34)</f>
        <v>110.06</v>
      </c>
      <c r="G53" s="75">
        <f>SUM(O33:O34)</f>
        <v>844.81999999999994</v>
      </c>
      <c r="J53" s="51" t="s">
        <v>154</v>
      </c>
      <c r="K53" s="47">
        <v>88.81</v>
      </c>
      <c r="L53" s="47">
        <v>73.430000000000007</v>
      </c>
      <c r="M53" s="47">
        <v>47.45</v>
      </c>
      <c r="N53" s="47">
        <v>30.87</v>
      </c>
      <c r="O53" s="47">
        <v>22.89</v>
      </c>
    </row>
    <row r="54" spans="2:20" x14ac:dyDescent="0.3">
      <c r="B54" s="57" t="s">
        <v>68</v>
      </c>
      <c r="C54" s="47">
        <v>0</v>
      </c>
      <c r="D54" s="88" t="s">
        <v>163</v>
      </c>
      <c r="E54" s="88" t="s">
        <v>163</v>
      </c>
      <c r="F54" s="88" t="s">
        <v>163</v>
      </c>
      <c r="G54" s="75">
        <f>G51+G52-G53</f>
        <v>60837.888090000008</v>
      </c>
      <c r="J54" s="51" t="s">
        <v>168</v>
      </c>
      <c r="K54" s="47"/>
      <c r="L54" s="47"/>
      <c r="M54" s="47"/>
      <c r="N54" s="47">
        <v>62.93</v>
      </c>
      <c r="O54" s="47">
        <v>81.709999999999994</v>
      </c>
    </row>
    <row r="55" spans="2:20" x14ac:dyDescent="0.3">
      <c r="J55" s="51" t="s">
        <v>70</v>
      </c>
      <c r="K55" s="47">
        <f>3.26+73.01</f>
        <v>76.27000000000001</v>
      </c>
      <c r="L55" s="47">
        <f>5.18+76.91</f>
        <v>82.09</v>
      </c>
      <c r="M55" s="47">
        <f>75.61+6.28</f>
        <v>81.89</v>
      </c>
      <c r="N55" s="47">
        <v>9.33</v>
      </c>
      <c r="O55" s="47">
        <v>10.82</v>
      </c>
      <c r="Q55" s="67"/>
      <c r="R55" s="67"/>
      <c r="S55" s="67"/>
      <c r="T55" s="67"/>
    </row>
    <row r="56" spans="2:20" x14ac:dyDescent="0.3">
      <c r="J56" s="52" t="s">
        <v>35</v>
      </c>
      <c r="K56" s="44">
        <f>K28+K15</f>
        <v>3783.9700000000003</v>
      </c>
      <c r="L56" s="44">
        <f>L28+L15</f>
        <v>3591.76</v>
      </c>
      <c r="M56" s="44">
        <f>M28+M15</f>
        <v>4827.0800000000008</v>
      </c>
      <c r="N56" s="44">
        <f>N28+N15</f>
        <v>7449.130000000001</v>
      </c>
      <c r="O56" s="44">
        <f>O28+O15</f>
        <v>12763.839999999998</v>
      </c>
    </row>
    <row r="57" spans="2:20" x14ac:dyDescent="0.3">
      <c r="J57" s="52" t="s">
        <v>162</v>
      </c>
      <c r="K57" s="44">
        <f>K39+K50+K7</f>
        <v>3783.9700000000003</v>
      </c>
      <c r="L57" s="44">
        <f>L39+L50+L7</f>
        <v>3591.76</v>
      </c>
      <c r="M57" s="44">
        <f>M39+M50+M7</f>
        <v>4827.08</v>
      </c>
      <c r="N57" s="44">
        <f>N39+N50+N7</f>
        <v>7449.1299999999992</v>
      </c>
      <c r="O57" s="44">
        <f>O39+O50+O7</f>
        <v>13225.66</v>
      </c>
    </row>
    <row r="58" spans="2:20" x14ac:dyDescent="0.3">
      <c r="O58" s="34"/>
      <c r="P58" s="34"/>
    </row>
    <row r="59" spans="2:20" x14ac:dyDescent="0.3">
      <c r="J59" s="70" t="s">
        <v>159</v>
      </c>
      <c r="K59" s="71" t="s">
        <v>72</v>
      </c>
      <c r="L59" s="71" t="s">
        <v>124</v>
      </c>
      <c r="M59" s="71" t="s">
        <v>126</v>
      </c>
      <c r="N59" s="71" t="s">
        <v>127</v>
      </c>
      <c r="O59" s="71" t="s">
        <v>167</v>
      </c>
      <c r="P59" s="85" t="s">
        <v>171</v>
      </c>
    </row>
    <row r="60" spans="2:20" x14ac:dyDescent="0.3">
      <c r="J60" s="58" t="s">
        <v>36</v>
      </c>
      <c r="K60" s="47">
        <v>0</v>
      </c>
      <c r="L60" s="81" t="s">
        <v>163</v>
      </c>
      <c r="M60" s="81" t="s">
        <v>163</v>
      </c>
      <c r="N60" s="81" t="s">
        <v>163</v>
      </c>
      <c r="O60" s="73">
        <v>438.1</v>
      </c>
      <c r="P60" s="73">
        <v>863.7</v>
      </c>
      <c r="Q60" s="34" t="s">
        <v>172</v>
      </c>
      <c r="R60" s="34"/>
      <c r="S60" s="34"/>
      <c r="T60" s="34"/>
    </row>
    <row r="61" spans="2:20" x14ac:dyDescent="0.3">
      <c r="J61" s="58" t="s">
        <v>37</v>
      </c>
      <c r="K61" s="41">
        <f t="shared" ref="K61:P61" si="12">C33</f>
        <v>4.8499999999999996</v>
      </c>
      <c r="L61" s="74">
        <f t="shared" si="12"/>
        <v>4.68</v>
      </c>
      <c r="M61" s="74">
        <f t="shared" si="12"/>
        <v>6.57</v>
      </c>
      <c r="N61" s="74">
        <f t="shared" si="12"/>
        <v>11.97</v>
      </c>
      <c r="O61" s="74">
        <f t="shared" si="12"/>
        <v>18.37</v>
      </c>
      <c r="P61" s="74">
        <f t="shared" si="12"/>
        <v>6.22</v>
      </c>
      <c r="Q61">
        <v>20.6</v>
      </c>
      <c r="R61" t="s">
        <v>173</v>
      </c>
      <c r="S61" s="67"/>
    </row>
    <row r="62" spans="2:20" x14ac:dyDescent="0.3">
      <c r="J62" s="58" t="s">
        <v>38</v>
      </c>
      <c r="K62" s="64">
        <v>0</v>
      </c>
      <c r="L62" s="81" t="s">
        <v>163</v>
      </c>
      <c r="M62" s="81" t="s">
        <v>163</v>
      </c>
      <c r="N62" s="81" t="s">
        <v>163</v>
      </c>
      <c r="O62" s="76">
        <f>O7*1000000/G50</f>
        <v>119.26686610868161</v>
      </c>
      <c r="P62" s="76" t="s">
        <v>163</v>
      </c>
    </row>
    <row r="63" spans="2:20" x14ac:dyDescent="0.3">
      <c r="J63" s="58" t="s">
        <v>39</v>
      </c>
      <c r="K63" s="47">
        <v>0</v>
      </c>
      <c r="L63" s="82">
        <v>0</v>
      </c>
      <c r="M63" s="82">
        <v>0</v>
      </c>
      <c r="N63" s="82">
        <v>0</v>
      </c>
      <c r="O63" s="82">
        <v>0</v>
      </c>
      <c r="P63" s="82" t="s">
        <v>71</v>
      </c>
    </row>
    <row r="64" spans="2:20" x14ac:dyDescent="0.3">
      <c r="J64" s="58" t="s">
        <v>40</v>
      </c>
      <c r="K64" s="41">
        <f>K60/K61</f>
        <v>0</v>
      </c>
      <c r="L64" s="81" t="s">
        <v>163</v>
      </c>
      <c r="M64" s="81" t="s">
        <v>163</v>
      </c>
      <c r="N64" s="74" t="s">
        <v>163</v>
      </c>
      <c r="O64" s="74">
        <f>O60/O61</f>
        <v>23.848666303756126</v>
      </c>
      <c r="P64" s="74">
        <f>P60/Q61</f>
        <v>41.927184466019419</v>
      </c>
    </row>
    <row r="65" spans="10:16" x14ac:dyDescent="0.3">
      <c r="J65" s="58" t="s">
        <v>41</v>
      </c>
      <c r="K65" s="47">
        <v>0</v>
      </c>
      <c r="L65" s="82" t="s">
        <v>163</v>
      </c>
      <c r="M65" s="82" t="s">
        <v>163</v>
      </c>
      <c r="N65" s="82" t="s">
        <v>163</v>
      </c>
      <c r="O65" s="77">
        <f>O60/O62</f>
        <v>3.6732750200779365</v>
      </c>
      <c r="P65" s="77" t="s">
        <v>163</v>
      </c>
    </row>
    <row r="66" spans="10:16" x14ac:dyDescent="0.3">
      <c r="J66" s="58" t="s">
        <v>42</v>
      </c>
      <c r="K66" s="41">
        <f>C54/C14</f>
        <v>0</v>
      </c>
      <c r="L66" s="81" t="s">
        <v>163</v>
      </c>
      <c r="M66" s="81" t="s">
        <v>163</v>
      </c>
      <c r="N66" s="81" t="s">
        <v>163</v>
      </c>
      <c r="O66" s="74">
        <f>G54/G14</f>
        <v>31.666278765576084</v>
      </c>
      <c r="P66" s="74" t="s">
        <v>163</v>
      </c>
    </row>
    <row r="67" spans="10:16" x14ac:dyDescent="0.3">
      <c r="J67" s="59" t="s">
        <v>43</v>
      </c>
      <c r="K67" s="37">
        <f>C24/K7</f>
        <v>0.16506708656891503</v>
      </c>
      <c r="L67" s="37">
        <f>D24/L7</f>
        <v>0.1374248018383217</v>
      </c>
      <c r="M67" s="37">
        <f>E24/M7</f>
        <v>0.16172178777722887</v>
      </c>
      <c r="N67" s="37">
        <f>F24/N7</f>
        <v>0.22773040000535816</v>
      </c>
      <c r="O67" s="37">
        <f>G24/O7</f>
        <v>0.13627751976547456</v>
      </c>
      <c r="P67" s="86" t="s">
        <v>163</v>
      </c>
    </row>
    <row r="68" spans="10:16" x14ac:dyDescent="0.3">
      <c r="J68" s="59" t="s">
        <v>44</v>
      </c>
      <c r="K68" s="37">
        <f>(C14-C18)/K12</f>
        <v>0.22835500674070019</v>
      </c>
      <c r="L68" s="37">
        <f>(D14-D18)/L12</f>
        <v>0.19705557091512388</v>
      </c>
      <c r="M68" s="37">
        <f>(E14-E18)/M12</f>
        <v>0.2292444658498273</v>
      </c>
      <c r="N68" s="37">
        <f>(F14-F18)/N12</f>
        <v>0.26520358166222763</v>
      </c>
      <c r="O68" s="37">
        <f>(G21+G20)/O12</f>
        <v>0.22463160558590087</v>
      </c>
      <c r="P68" s="86" t="s">
        <v>163</v>
      </c>
    </row>
    <row r="69" spans="10:16" x14ac:dyDescent="0.3">
      <c r="J69" s="58" t="s">
        <v>45</v>
      </c>
      <c r="K69" s="40">
        <f>K11/K7</f>
        <v>0</v>
      </c>
      <c r="L69" s="40">
        <f>L11/L7</f>
        <v>0.62148666442901035</v>
      </c>
      <c r="M69" s="40">
        <f>M11/M7</f>
        <v>0.89548206074147196</v>
      </c>
      <c r="N69" s="40">
        <f>N11/N7</f>
        <v>1.206001755173407</v>
      </c>
      <c r="O69" s="40">
        <f>O11/O7</f>
        <v>0.39130133485789531</v>
      </c>
      <c r="P69" s="76" t="s">
        <v>163</v>
      </c>
    </row>
    <row r="70" spans="10:16" x14ac:dyDescent="0.3">
      <c r="J70" s="58" t="s">
        <v>46</v>
      </c>
      <c r="K70" s="40">
        <f>(K11-C53)/K7</f>
        <v>-4.2155870748340048E-2</v>
      </c>
      <c r="L70" s="40">
        <f>(L11-D53)/L7</f>
        <v>0.5862900518964137</v>
      </c>
      <c r="M70" s="40">
        <f>(M11-E53)/M7</f>
        <v>0.81856797692967176</v>
      </c>
      <c r="N70" s="40">
        <f>(N11-F53)/N7</f>
        <v>1.1691364144888894</v>
      </c>
      <c r="O70" s="40">
        <f>(O11-G53)/O7</f>
        <v>0.28675747214766473</v>
      </c>
      <c r="P70" s="76" t="s">
        <v>163</v>
      </c>
    </row>
    <row r="71" spans="10:16" x14ac:dyDescent="0.3">
      <c r="J71" s="58" t="s">
        <v>47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82" t="s">
        <v>71</v>
      </c>
    </row>
    <row r="72" spans="10:16" x14ac:dyDescent="0.3">
      <c r="J72" s="58" t="s">
        <v>48</v>
      </c>
      <c r="K72" s="40">
        <f>AVERAGE(K32:K32)/C5*365</f>
        <v>54.834123794350731</v>
      </c>
      <c r="L72" s="40">
        <f>AVERAGE(K32:L32)/D5*365</f>
        <v>41.776963867131663</v>
      </c>
      <c r="M72" s="40">
        <f>AVERAGE(L32:M32)/E5*365</f>
        <v>35.449461786283777</v>
      </c>
      <c r="N72" s="40">
        <f>AVERAGE(M32:N32)/F5*365</f>
        <v>36.254817084333141</v>
      </c>
      <c r="O72" s="40">
        <f>AVERAGE(N32:O32)/G5*365</f>
        <v>32.695470926506879</v>
      </c>
      <c r="P72" s="76" t="s">
        <v>163</v>
      </c>
    </row>
    <row r="73" spans="10:16" x14ac:dyDescent="0.3">
      <c r="J73" s="58" t="s">
        <v>49</v>
      </c>
      <c r="K73" s="40">
        <f>(AVERAGE(K42:K42)/SUM(C9:C11))*365</f>
        <v>14.508994451282526</v>
      </c>
      <c r="L73" s="40">
        <f>(AVERAGE(K42:L42)/SUM(D9:D11))*365</f>
        <v>9.7565263374709605</v>
      </c>
      <c r="M73" s="40">
        <f>(AVERAGE(L42:M42)/SUM(E9:E11))*365</f>
        <v>5.6833510171510033</v>
      </c>
      <c r="N73" s="40">
        <f>(AVERAGE(M42:N42)/SUM(F9:F11))*365</f>
        <v>5.4281772870312848</v>
      </c>
      <c r="O73" s="40">
        <f>(AVERAGE(N42:O42)/SUM(G9:G11))*365</f>
        <v>10.221435672168329</v>
      </c>
      <c r="P73" s="76" t="s">
        <v>163</v>
      </c>
    </row>
    <row r="74" spans="10:16" x14ac:dyDescent="0.3">
      <c r="J74" s="58" t="s">
        <v>50</v>
      </c>
      <c r="K74" s="40">
        <f>(AVERAGE(K29:K29)/SUM(C9:C11))*365</f>
        <v>48.765328085198803</v>
      </c>
      <c r="L74" s="40">
        <f>(AVERAGE(K29:L29)/SUM(D9:D11))*365</f>
        <v>41.082858152145498</v>
      </c>
      <c r="M74" s="40">
        <f>(AVERAGE(L29:M29)/SUM(E9:E11))*365</f>
        <v>35.903293330291767</v>
      </c>
      <c r="N74" s="40">
        <f>(AVERAGE(M29:N29)/SUM(F9:F11))*365</f>
        <v>36.610177351193862</v>
      </c>
      <c r="O74" s="40">
        <f>(AVERAGE(N29:O29)/SUM(G9:G11))*365</f>
        <v>41.651390847787304</v>
      </c>
      <c r="P74" s="76" t="s">
        <v>163</v>
      </c>
    </row>
    <row r="75" spans="10:16" x14ac:dyDescent="0.3">
      <c r="J75" s="58" t="s">
        <v>51</v>
      </c>
      <c r="K75" s="40">
        <f>K74+K72-K73</f>
        <v>89.090457428267001</v>
      </c>
      <c r="L75" s="40">
        <f t="shared" ref="L75:N75" si="13">L74+L72-L73</f>
        <v>73.103295681806202</v>
      </c>
      <c r="M75" s="40">
        <f t="shared" si="13"/>
        <v>65.66940409942454</v>
      </c>
      <c r="N75" s="40">
        <f t="shared" si="13"/>
        <v>67.436817148495706</v>
      </c>
      <c r="O75" s="40">
        <f>O74+O72-O73</f>
        <v>64.125426102125857</v>
      </c>
      <c r="P75" s="76" t="s">
        <v>163</v>
      </c>
    </row>
    <row r="76" spans="10:16" x14ac:dyDescent="0.3">
      <c r="J76" s="58" t="s">
        <v>52</v>
      </c>
      <c r="K76" s="40">
        <f>K48/C5*365</f>
        <v>29.79990558116404</v>
      </c>
      <c r="L76" s="40">
        <f>L48/D5*365</f>
        <v>32.783431479046371</v>
      </c>
      <c r="M76" s="40">
        <f>M48/E5*365</f>
        <v>32.463214529781652</v>
      </c>
      <c r="N76" s="40">
        <f>N48/F5*365</f>
        <v>29.289827842552992</v>
      </c>
      <c r="O76" s="40">
        <f>O48/G5*365</f>
        <v>43.013307816519671</v>
      </c>
      <c r="P76" s="76" t="s">
        <v>163</v>
      </c>
    </row>
    <row r="77" spans="10:16" x14ac:dyDescent="0.3">
      <c r="J77" s="60" t="s">
        <v>53</v>
      </c>
      <c r="K77" s="37" t="e">
        <f>C20/K11</f>
        <v>#DIV/0!</v>
      </c>
      <c r="L77" s="37">
        <f>C20/L11</f>
        <v>7.2560945211625705E-2</v>
      </c>
      <c r="M77" s="37">
        <f>D20/M11</f>
        <v>6.4668678194267151E-2</v>
      </c>
      <c r="N77" s="37">
        <f>E20/N11</f>
        <v>4.8799184550905851E-2</v>
      </c>
      <c r="O77" s="37">
        <f>F20/O11</f>
        <v>8.8545306773009161E-2</v>
      </c>
      <c r="P77" s="86" t="s">
        <v>163</v>
      </c>
    </row>
    <row r="78" spans="10:16" x14ac:dyDescent="0.3">
      <c r="J78" s="51" t="s">
        <v>54</v>
      </c>
      <c r="K78" s="40">
        <f>(C21+C20)/C20</f>
        <v>5.6421619145768798</v>
      </c>
      <c r="L78" s="40">
        <f>(D21+D20)/D20</f>
        <v>3.6521609092268719</v>
      </c>
      <c r="M78" s="40">
        <f>(E21+E20)/E20</f>
        <v>3.8809334092202561</v>
      </c>
      <c r="N78" s="40">
        <f>(F21+F20)/F20</f>
        <v>4.2297582056501897</v>
      </c>
      <c r="O78" s="40">
        <f>(G21+G20)/G20</f>
        <v>4.3132379654859161</v>
      </c>
      <c r="P78" s="76" t="s">
        <v>163</v>
      </c>
    </row>
    <row r="79" spans="10:16" x14ac:dyDescent="0.3">
      <c r="J79" s="60" t="s">
        <v>120</v>
      </c>
      <c r="K79" s="40">
        <f>C5/AVERAGE(K56)</f>
        <v>2.3007291284021805</v>
      </c>
      <c r="L79" s="40">
        <f>D5/AVERAGE(K56:L56)</f>
        <v>2.8457115431286124</v>
      </c>
      <c r="M79" s="40">
        <f>E5/AVERAGE(L56:M56)</f>
        <v>3.2850487715647283</v>
      </c>
      <c r="N79" s="40">
        <f>F5/AVERAGE(M56:N56)</f>
        <v>3.1415119161369831</v>
      </c>
      <c r="O79" s="40">
        <f>G5/AVERAGE(N56:O56)</f>
        <v>3.0742350085118613</v>
      </c>
      <c r="P79" s="76" t="s">
        <v>163</v>
      </c>
    </row>
  </sheetData>
  <mergeCells count="3">
    <mergeCell ref="B3:G3"/>
    <mergeCell ref="J3:O3"/>
    <mergeCell ref="B2:O2"/>
  </mergeCells>
  <phoneticPr fontId="15" type="noConversion"/>
  <pageMargins left="0.70866141732283472" right="0.70866141732283472" top="0.74803149606299213" bottom="0.74803149606299213" header="0.31496062992125984" footer="0.31496062992125984"/>
  <pageSetup orientation="portrait" r:id="rId1"/>
  <ignoredErrors>
    <ignoredError sqref="C53:D53 K72:N74 E53:G53" formulaRange="1"/>
    <ignoredError sqref="D42" formula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9"/>
  <sheetViews>
    <sheetView workbookViewId="0">
      <selection activeCell="D26" sqref="D26"/>
    </sheetView>
  </sheetViews>
  <sheetFormatPr defaultColWidth="8.88671875" defaultRowHeight="14.4" x14ac:dyDescent="0.3"/>
  <cols>
    <col min="1" max="1" width="45" customWidth="1"/>
    <col min="2" max="10" width="15.109375" customWidth="1"/>
  </cols>
  <sheetData>
    <row r="1" spans="1:11" x14ac:dyDescent="0.3">
      <c r="B1" s="1" t="s">
        <v>14</v>
      </c>
      <c r="C1" s="1" t="s">
        <v>72</v>
      </c>
      <c r="D1" s="1" t="s">
        <v>14</v>
      </c>
      <c r="E1" s="1" t="s">
        <v>72</v>
      </c>
      <c r="F1" s="1" t="s">
        <v>14</v>
      </c>
      <c r="G1" s="1" t="s">
        <v>72</v>
      </c>
      <c r="H1" s="1" t="s">
        <v>14</v>
      </c>
      <c r="I1" s="1" t="s">
        <v>72</v>
      </c>
      <c r="J1" s="1" t="s">
        <v>14</v>
      </c>
      <c r="K1" s="1" t="s">
        <v>72</v>
      </c>
    </row>
    <row r="2" spans="1:11" x14ac:dyDescent="0.3">
      <c r="A2" s="2" t="s">
        <v>73</v>
      </c>
      <c r="B2" s="96" t="s">
        <v>116</v>
      </c>
      <c r="C2" s="97"/>
      <c r="D2" s="96" t="s">
        <v>117</v>
      </c>
      <c r="E2" s="97"/>
      <c r="F2" s="96" t="s">
        <v>118</v>
      </c>
      <c r="G2" s="97"/>
      <c r="H2" s="98" t="s">
        <v>119</v>
      </c>
      <c r="I2" s="99"/>
      <c r="J2" s="96" t="s">
        <v>74</v>
      </c>
      <c r="K2" s="97"/>
    </row>
    <row r="3" spans="1:11" x14ac:dyDescent="0.3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x14ac:dyDescent="0.3">
      <c r="A4" s="5" t="s">
        <v>75</v>
      </c>
      <c r="B4" s="3"/>
      <c r="C4" s="3"/>
      <c r="D4" s="3"/>
      <c r="E4" s="3"/>
      <c r="F4" s="3"/>
      <c r="G4" s="3"/>
      <c r="H4" s="3"/>
      <c r="I4" s="3"/>
      <c r="J4" s="4"/>
      <c r="K4" s="4"/>
    </row>
    <row r="5" spans="1:11" x14ac:dyDescent="0.3">
      <c r="A5" s="3" t="s">
        <v>76</v>
      </c>
      <c r="B5" s="6"/>
      <c r="C5" s="6"/>
      <c r="D5" s="7">
        <f>5072.98*10</f>
        <v>50729.799999999996</v>
      </c>
      <c r="E5" s="7">
        <f>8033.73*10</f>
        <v>80337.299999999988</v>
      </c>
      <c r="F5" s="7">
        <v>17084.8</v>
      </c>
      <c r="G5" s="7">
        <v>23877.19</v>
      </c>
      <c r="H5" s="7"/>
      <c r="I5" s="7"/>
      <c r="J5" s="8"/>
      <c r="K5" s="8"/>
    </row>
    <row r="6" spans="1:11" x14ac:dyDescent="0.3">
      <c r="A6" s="3" t="s">
        <v>77</v>
      </c>
      <c r="B6" s="6"/>
      <c r="C6" s="9" t="s">
        <v>71</v>
      </c>
      <c r="D6" s="7"/>
      <c r="E6" s="10">
        <v>73690</v>
      </c>
      <c r="F6" s="7"/>
      <c r="G6" s="11">
        <v>30561.14</v>
      </c>
      <c r="H6" s="7"/>
      <c r="I6" s="11"/>
      <c r="J6" s="8"/>
      <c r="K6" s="11"/>
    </row>
    <row r="7" spans="1:11" x14ac:dyDescent="0.3">
      <c r="A7" s="3" t="s">
        <v>78</v>
      </c>
      <c r="C7" s="12" t="e">
        <f>(C5/C6)^(1/3)-1</f>
        <v>#VALUE!</v>
      </c>
      <c r="D7" s="12"/>
      <c r="E7" s="12">
        <f t="shared" ref="E7" si="0">(E5/E6)^(1/3)-1</f>
        <v>2.9207380125174875E-2</v>
      </c>
      <c r="F7" s="12"/>
      <c r="G7" s="12">
        <f t="shared" ref="G7" si="1">(G5/G6)^(1/3)-1</f>
        <v>-7.8975417929668112E-2</v>
      </c>
      <c r="H7" s="13"/>
      <c r="I7" s="11"/>
      <c r="J7" s="13"/>
      <c r="K7" s="11"/>
    </row>
    <row r="8" spans="1:11" x14ac:dyDescent="0.3">
      <c r="A8" s="3" t="s">
        <v>79</v>
      </c>
      <c r="B8" s="6"/>
      <c r="C8" s="6"/>
      <c r="D8" s="7">
        <f>D5-46104</f>
        <v>4625.7999999999956</v>
      </c>
      <c r="E8" s="7">
        <f>E5-72454</f>
        <v>7883.2999999999884</v>
      </c>
      <c r="F8" s="7">
        <f>F5-15463</f>
        <v>1621.7999999999993</v>
      </c>
      <c r="G8" s="7">
        <f>G5-19692</f>
        <v>4185.1899999999987</v>
      </c>
      <c r="H8" s="7"/>
      <c r="I8" s="7"/>
      <c r="J8" s="8"/>
      <c r="K8" s="8"/>
    </row>
    <row r="9" spans="1:11" x14ac:dyDescent="0.3">
      <c r="A9" s="3" t="s">
        <v>80</v>
      </c>
      <c r="B9" s="6"/>
      <c r="C9" s="9" t="s">
        <v>71</v>
      </c>
      <c r="D9" s="7"/>
      <c r="E9" s="10">
        <v>4791.8900000000003</v>
      </c>
      <c r="F9" s="7"/>
      <c r="G9" s="11">
        <v>8431</v>
      </c>
      <c r="H9" s="7"/>
      <c r="I9" s="11"/>
      <c r="J9" s="8"/>
      <c r="K9" s="11"/>
    </row>
    <row r="10" spans="1:11" x14ac:dyDescent="0.3">
      <c r="A10" s="3" t="s">
        <v>78</v>
      </c>
      <c r="B10" s="12"/>
      <c r="C10" s="12" t="e">
        <f>(C8/C9)^(1/3)-1</f>
        <v>#VALUE!</v>
      </c>
      <c r="D10" s="12"/>
      <c r="E10" s="12">
        <f t="shared" ref="E10" si="2">(E8/E9)^(1/3)-1</f>
        <v>0.18050293538614959</v>
      </c>
      <c r="F10" s="12"/>
      <c r="G10" s="12">
        <f t="shared" ref="G10" si="3">(G8/G9)^(1/3)-1</f>
        <v>-0.20820632193304767</v>
      </c>
      <c r="H10" s="13"/>
      <c r="I10" s="11"/>
      <c r="J10" s="13"/>
      <c r="K10" s="11"/>
    </row>
    <row r="11" spans="1:11" x14ac:dyDescent="0.3">
      <c r="A11" s="3" t="s">
        <v>81</v>
      </c>
      <c r="B11" s="12" t="e">
        <f t="shared" ref="B11:C11" si="4">B8/B5</f>
        <v>#DIV/0!</v>
      </c>
      <c r="C11" s="12" t="e">
        <f t="shared" si="4"/>
        <v>#DIV/0!</v>
      </c>
      <c r="D11" s="14">
        <f>D8/D5</f>
        <v>9.1185062823034901E-2</v>
      </c>
      <c r="E11" s="13">
        <f>E8/E5</f>
        <v>9.8127519844455682E-2</v>
      </c>
      <c r="F11" s="14">
        <f>F8/F5</f>
        <v>9.4926484360367075E-2</v>
      </c>
      <c r="G11" s="13">
        <f>G8/G5</f>
        <v>0.17527983820541693</v>
      </c>
      <c r="H11" s="14"/>
      <c r="I11" s="13"/>
      <c r="J11" s="14"/>
      <c r="K11" s="13"/>
    </row>
    <row r="12" spans="1:11" x14ac:dyDescent="0.3">
      <c r="A12" s="3" t="s">
        <v>9</v>
      </c>
      <c r="B12" s="6"/>
      <c r="C12" s="6"/>
      <c r="D12" s="7">
        <f>-27.39*10</f>
        <v>-273.89999999999998</v>
      </c>
      <c r="E12" s="7">
        <f>241.58*10</f>
        <v>2415.8000000000002</v>
      </c>
      <c r="F12" s="7">
        <v>-893</v>
      </c>
      <c r="G12" s="7">
        <v>1030</v>
      </c>
      <c r="H12" s="7"/>
      <c r="I12" s="7"/>
      <c r="J12" s="8"/>
      <c r="K12" s="8"/>
    </row>
    <row r="13" spans="1:11" x14ac:dyDescent="0.3">
      <c r="A13" s="3" t="s">
        <v>82</v>
      </c>
      <c r="B13" s="6"/>
      <c r="C13" s="9" t="s">
        <v>71</v>
      </c>
      <c r="D13" s="7"/>
      <c r="E13" s="10">
        <v>921</v>
      </c>
      <c r="F13" s="7"/>
      <c r="G13" s="11">
        <v>3290</v>
      </c>
      <c r="H13" s="7"/>
      <c r="I13" s="11"/>
      <c r="J13" s="8"/>
      <c r="K13" s="11"/>
    </row>
    <row r="14" spans="1:11" x14ac:dyDescent="0.3">
      <c r="A14" s="3" t="s">
        <v>78</v>
      </c>
      <c r="B14" s="12"/>
      <c r="C14" s="12" t="e">
        <f>(C12/C13)^(1/3)-1</f>
        <v>#VALUE!</v>
      </c>
      <c r="D14" s="12"/>
      <c r="E14" s="12">
        <f t="shared" ref="E14" si="5">(E12/E13)^(1/3)-1</f>
        <v>0.37911489455415204</v>
      </c>
      <c r="F14" s="12"/>
      <c r="G14" s="12">
        <f t="shared" ref="G14" si="6">(G12/G13)^(1/3)-1</f>
        <v>-0.32098332089922066</v>
      </c>
      <c r="H14" s="13"/>
      <c r="I14" s="11"/>
      <c r="J14" s="13"/>
      <c r="K14" s="11"/>
    </row>
    <row r="15" spans="1:11" x14ac:dyDescent="0.3">
      <c r="A15" s="3" t="s">
        <v>83</v>
      </c>
      <c r="B15" s="12" t="e">
        <f t="shared" ref="B15:C15" si="7">B12/B5</f>
        <v>#DIV/0!</v>
      </c>
      <c r="C15" s="12" t="e">
        <f t="shared" si="7"/>
        <v>#DIV/0!</v>
      </c>
      <c r="D15" s="14">
        <f>D12/D5</f>
        <v>-5.3991933735201003E-3</v>
      </c>
      <c r="E15" s="13">
        <f>E12/E5</f>
        <v>3.0070714350619209E-2</v>
      </c>
      <c r="F15" s="23">
        <f>F12/F5</f>
        <v>-5.2268683274021357E-2</v>
      </c>
      <c r="G15" s="13">
        <f>G12/G5</f>
        <v>4.3137404359558228E-2</v>
      </c>
      <c r="H15" s="14"/>
      <c r="I15" s="13"/>
      <c r="J15" s="14"/>
      <c r="K15" s="13"/>
    </row>
    <row r="16" spans="1:11" x14ac:dyDescent="0.3">
      <c r="A16" s="3" t="s">
        <v>13</v>
      </c>
      <c r="B16" s="3"/>
      <c r="C16" s="3"/>
      <c r="D16" s="15">
        <v>0.64</v>
      </c>
      <c r="E16" s="15">
        <v>9.1300000000000008</v>
      </c>
      <c r="F16" s="15">
        <v>-6.95</v>
      </c>
      <c r="G16" s="15">
        <v>8.01</v>
      </c>
      <c r="H16" s="15"/>
      <c r="I16" s="15"/>
      <c r="J16" s="16"/>
      <c r="K16" s="16"/>
    </row>
    <row r="17" spans="1:11" x14ac:dyDescent="0.3">
      <c r="A17" s="3"/>
      <c r="B17" s="3"/>
      <c r="C17" s="3"/>
      <c r="D17" s="7"/>
      <c r="E17" s="3"/>
      <c r="F17" s="7"/>
      <c r="G17" s="15"/>
      <c r="H17" s="7"/>
      <c r="I17" s="15"/>
      <c r="J17" s="8"/>
      <c r="K17" s="16"/>
    </row>
    <row r="18" spans="1:11" x14ac:dyDescent="0.3">
      <c r="A18" s="5" t="s">
        <v>84</v>
      </c>
      <c r="B18" s="3"/>
      <c r="C18" s="3"/>
      <c r="D18" s="7"/>
      <c r="E18" s="3"/>
      <c r="F18" s="7"/>
      <c r="G18" s="15"/>
      <c r="H18" s="7"/>
      <c r="I18" s="15"/>
      <c r="J18" s="8"/>
      <c r="K18" s="16"/>
    </row>
    <row r="19" spans="1:11" x14ac:dyDescent="0.3">
      <c r="A19" s="3" t="s">
        <v>85</v>
      </c>
      <c r="B19" s="6"/>
      <c r="C19" s="6"/>
      <c r="D19" s="7">
        <f>2719.29*10</f>
        <v>27192.9</v>
      </c>
      <c r="E19" s="7">
        <f>2950.53*10</f>
        <v>29505.300000000003</v>
      </c>
      <c r="F19" s="7">
        <v>17580.91</v>
      </c>
      <c r="G19" s="7">
        <v>18146.52</v>
      </c>
      <c r="H19" s="7"/>
      <c r="I19" s="7"/>
      <c r="J19" s="8"/>
      <c r="K19" s="8"/>
    </row>
    <row r="20" spans="1:11" x14ac:dyDescent="0.3">
      <c r="A20" s="3" t="s">
        <v>66</v>
      </c>
      <c r="B20" s="6">
        <f>SUM(B21:B22)</f>
        <v>0</v>
      </c>
      <c r="C20" s="6">
        <f>SUM(C21:C22)</f>
        <v>0</v>
      </c>
      <c r="D20" s="7">
        <f>SUM(D21:D22)</f>
        <v>20021.5</v>
      </c>
      <c r="E20" s="15">
        <f>SUM(E21:E22)</f>
        <v>17594.5</v>
      </c>
      <c r="F20" s="7"/>
      <c r="G20" s="7"/>
      <c r="H20" s="7"/>
      <c r="I20" s="7"/>
      <c r="J20" s="8"/>
      <c r="K20" s="8"/>
    </row>
    <row r="21" spans="1:11" x14ac:dyDescent="0.3">
      <c r="A21" s="3" t="s">
        <v>86</v>
      </c>
      <c r="B21" s="6"/>
      <c r="C21" s="6"/>
      <c r="D21" s="7">
        <f>1141.9*10</f>
        <v>11419</v>
      </c>
      <c r="E21" s="15">
        <f>757.73*10</f>
        <v>7577.3</v>
      </c>
      <c r="F21" s="7"/>
      <c r="G21" s="7"/>
      <c r="H21" s="7"/>
      <c r="I21" s="7"/>
      <c r="J21" s="8"/>
      <c r="K21" s="8"/>
    </row>
    <row r="22" spans="1:11" x14ac:dyDescent="0.3">
      <c r="A22" s="3" t="s">
        <v>87</v>
      </c>
      <c r="B22" s="6"/>
      <c r="C22" s="6"/>
      <c r="D22" s="7">
        <f>860.25*10</f>
        <v>8602.5</v>
      </c>
      <c r="E22" s="15">
        <f>1001.72*10</f>
        <v>10017.200000000001</v>
      </c>
      <c r="F22" s="7"/>
      <c r="G22" s="7"/>
      <c r="H22" s="7"/>
      <c r="I22" s="7"/>
      <c r="J22" s="8"/>
      <c r="K22" s="8"/>
    </row>
    <row r="23" spans="1:11" x14ac:dyDescent="0.3">
      <c r="A23" s="3"/>
      <c r="B23" s="3"/>
      <c r="C23" s="3"/>
      <c r="D23" s="7"/>
      <c r="E23" s="3"/>
      <c r="F23" s="7"/>
      <c r="G23" s="15"/>
      <c r="H23" s="7"/>
      <c r="I23" s="15"/>
      <c r="J23" s="8"/>
      <c r="K23" s="16"/>
    </row>
    <row r="24" spans="1:11" x14ac:dyDescent="0.3">
      <c r="A24" s="5" t="s">
        <v>88</v>
      </c>
      <c r="B24" s="3"/>
      <c r="C24" s="3"/>
      <c r="D24" s="7"/>
      <c r="E24" s="3"/>
      <c r="F24" s="7"/>
      <c r="G24" s="15"/>
      <c r="H24" s="7"/>
      <c r="I24" s="15"/>
      <c r="J24" s="8"/>
      <c r="K24" s="16"/>
    </row>
    <row r="25" spans="1:11" x14ac:dyDescent="0.3">
      <c r="A25" s="3" t="s">
        <v>89</v>
      </c>
      <c r="B25" s="6"/>
      <c r="C25" s="6"/>
      <c r="D25" s="7">
        <f>776.28*10</f>
        <v>7762.7999999999993</v>
      </c>
      <c r="E25" s="7">
        <f>594.57*10</f>
        <v>5945.7000000000007</v>
      </c>
      <c r="F25" s="7">
        <v>4610.54</v>
      </c>
      <c r="G25" s="7">
        <v>2115.08</v>
      </c>
      <c r="H25" s="7"/>
      <c r="I25" s="7"/>
      <c r="J25" s="8"/>
      <c r="K25" s="8"/>
    </row>
    <row r="26" spans="1:11" x14ac:dyDescent="0.3">
      <c r="A26" s="3" t="s">
        <v>63</v>
      </c>
      <c r="B26" s="6">
        <f t="shared" ref="B26:G26" si="8">B25-B27</f>
        <v>0</v>
      </c>
      <c r="C26" s="6">
        <f t="shared" si="8"/>
        <v>0</v>
      </c>
      <c r="D26" s="7">
        <f t="shared" si="8"/>
        <v>6604.1999999999989</v>
      </c>
      <c r="E26" s="7">
        <f t="shared" si="8"/>
        <v>4087.8000000000011</v>
      </c>
      <c r="F26" s="7">
        <f t="shared" si="8"/>
        <v>4978.04</v>
      </c>
      <c r="G26" s="7">
        <f t="shared" si="8"/>
        <v>2600.92</v>
      </c>
      <c r="H26" s="7"/>
      <c r="I26" s="7"/>
      <c r="J26" s="8"/>
      <c r="K26" s="8"/>
    </row>
    <row r="27" spans="1:11" x14ac:dyDescent="0.3">
      <c r="A27" s="3" t="s">
        <v>90</v>
      </c>
      <c r="B27" s="3"/>
      <c r="C27" s="3"/>
      <c r="D27" s="7">
        <f>115.86*10</f>
        <v>1158.5999999999999</v>
      </c>
      <c r="E27" s="3">
        <f>185.79*10</f>
        <v>1857.8999999999999</v>
      </c>
      <c r="F27" s="7">
        <v>-367.5</v>
      </c>
      <c r="G27" s="15">
        <v>-485.84</v>
      </c>
      <c r="H27" s="7"/>
      <c r="I27" s="15"/>
      <c r="J27" s="8"/>
      <c r="K27" s="16"/>
    </row>
    <row r="28" spans="1:11" x14ac:dyDescent="0.3">
      <c r="A28" s="3"/>
      <c r="B28" s="3"/>
      <c r="C28" s="3"/>
      <c r="D28" s="7"/>
      <c r="E28" s="3"/>
      <c r="F28" s="7"/>
      <c r="G28" s="15"/>
      <c r="H28" s="7"/>
      <c r="I28" s="15"/>
      <c r="J28" s="8"/>
      <c r="K28" s="16"/>
    </row>
    <row r="29" spans="1:11" x14ac:dyDescent="0.3">
      <c r="A29" s="3" t="s">
        <v>91</v>
      </c>
      <c r="B29" s="6"/>
      <c r="C29" s="6"/>
      <c r="D29" s="15">
        <v>260585819</v>
      </c>
      <c r="E29" s="15">
        <v>260585819</v>
      </c>
      <c r="F29" s="15">
        <v>128527540</v>
      </c>
      <c r="G29" s="15">
        <v>128527540</v>
      </c>
      <c r="H29" s="7"/>
      <c r="I29" s="7"/>
      <c r="J29" s="8"/>
      <c r="K29" s="8"/>
    </row>
    <row r="30" spans="1:11" x14ac:dyDescent="0.3">
      <c r="A30" s="3" t="s">
        <v>65</v>
      </c>
      <c r="B30" s="6">
        <f>B29*B41</f>
        <v>0</v>
      </c>
      <c r="C30" s="6">
        <f>C29*C41</f>
        <v>0</v>
      </c>
      <c r="D30" s="7"/>
      <c r="E30" s="15">
        <f>2517.26*10</f>
        <v>25172.600000000002</v>
      </c>
      <c r="F30" s="7"/>
      <c r="G30" s="7">
        <f>22797.57*10</f>
        <v>227975.7</v>
      </c>
      <c r="H30" s="7"/>
      <c r="I30" s="7"/>
      <c r="J30" s="7"/>
      <c r="K30" s="7"/>
    </row>
    <row r="31" spans="1:11" x14ac:dyDescent="0.3">
      <c r="A31" s="3" t="s">
        <v>92</v>
      </c>
      <c r="B31" s="6">
        <f>B30+B20-B32</f>
        <v>0</v>
      </c>
      <c r="C31" s="6">
        <f>C30+C20-C32</f>
        <v>0</v>
      </c>
      <c r="D31" s="7"/>
      <c r="E31" s="17">
        <f>E30+E20-E32</f>
        <v>42169.3</v>
      </c>
      <c r="F31" s="7"/>
      <c r="G31" s="7">
        <f>G30+G20-G32</f>
        <v>227797.98</v>
      </c>
      <c r="H31" s="7"/>
      <c r="I31" s="7"/>
      <c r="J31" s="8"/>
      <c r="K31" s="8"/>
    </row>
    <row r="32" spans="1:11" x14ac:dyDescent="0.3">
      <c r="A32" s="3" t="s">
        <v>93</v>
      </c>
      <c r="B32" s="3"/>
      <c r="C32" s="3"/>
      <c r="D32" s="7">
        <f>27.12*10</f>
        <v>271.2</v>
      </c>
      <c r="E32" s="3">
        <f>59.78*10</f>
        <v>597.79999999999995</v>
      </c>
      <c r="F32" s="7">
        <v>544.9</v>
      </c>
      <c r="G32" s="15">
        <v>177.72</v>
      </c>
      <c r="H32" s="7"/>
      <c r="I32" s="15"/>
      <c r="J32" s="8"/>
      <c r="K32" s="16"/>
    </row>
    <row r="33" spans="1:11" x14ac:dyDescent="0.3">
      <c r="A33" s="3"/>
      <c r="B33" s="3"/>
      <c r="C33" s="3"/>
      <c r="D33" s="7"/>
      <c r="E33" s="3"/>
      <c r="F33" s="7"/>
      <c r="G33" s="15"/>
      <c r="H33" s="7"/>
      <c r="I33" s="15"/>
      <c r="J33" s="8"/>
      <c r="K33" s="16"/>
    </row>
    <row r="34" spans="1:11" x14ac:dyDescent="0.3">
      <c r="A34" s="3" t="s">
        <v>94</v>
      </c>
      <c r="B34" s="18" t="e">
        <f>B41/B16</f>
        <v>#DIV/0!</v>
      </c>
      <c r="C34" s="18" t="e">
        <f>C41/C16</f>
        <v>#DIV/0!</v>
      </c>
      <c r="D34" s="18">
        <f>D41/D16</f>
        <v>102.65625</v>
      </c>
      <c r="E34" s="18">
        <f>E41/E16</f>
        <v>12.650602409638553</v>
      </c>
      <c r="F34" s="18">
        <f t="shared" ref="F34:I34" si="9">F41/F16</f>
        <v>-202.10791366906474</v>
      </c>
      <c r="G34" s="18">
        <f t="shared" si="9"/>
        <v>244.93757802746569</v>
      </c>
      <c r="H34" s="18" t="e">
        <f t="shared" si="9"/>
        <v>#DIV/0!</v>
      </c>
      <c r="I34" s="18" t="e">
        <f t="shared" si="9"/>
        <v>#DIV/0!</v>
      </c>
      <c r="J34" s="18"/>
      <c r="K34" s="19"/>
    </row>
    <row r="35" spans="1:11" x14ac:dyDescent="0.3">
      <c r="A35" s="3" t="s">
        <v>47</v>
      </c>
      <c r="B35" s="20">
        <f>B36/B41</f>
        <v>0</v>
      </c>
      <c r="C35" s="20">
        <f>C36/C41</f>
        <v>0</v>
      </c>
      <c r="D35" s="20">
        <f t="shared" ref="D35:I35" si="10">D36/D41</f>
        <v>0</v>
      </c>
      <c r="E35" s="20">
        <f t="shared" si="10"/>
        <v>0</v>
      </c>
      <c r="F35" s="20">
        <f t="shared" si="10"/>
        <v>2.8476844765599968E-3</v>
      </c>
      <c r="G35" s="20">
        <f t="shared" si="10"/>
        <v>2.5484849257116642E-3</v>
      </c>
      <c r="H35" s="20">
        <f t="shared" si="10"/>
        <v>0</v>
      </c>
      <c r="I35" s="20">
        <f t="shared" si="10"/>
        <v>0</v>
      </c>
      <c r="J35" s="8"/>
      <c r="K35" s="16"/>
    </row>
    <row r="36" spans="1:11" x14ac:dyDescent="0.3">
      <c r="A36" s="3" t="s">
        <v>95</v>
      </c>
      <c r="B36" s="20"/>
      <c r="C36" s="21"/>
      <c r="D36" s="7"/>
      <c r="E36" s="15"/>
      <c r="F36" s="7">
        <v>4</v>
      </c>
      <c r="G36" s="15">
        <v>5</v>
      </c>
      <c r="H36" s="7"/>
      <c r="I36" s="15"/>
      <c r="J36" s="8"/>
      <c r="K36" s="16"/>
    </row>
    <row r="37" spans="1:11" x14ac:dyDescent="0.3">
      <c r="A37" s="3" t="s">
        <v>96</v>
      </c>
      <c r="B37" s="18" t="e">
        <f>B41/B43</f>
        <v>#DIV/0!</v>
      </c>
      <c r="C37" s="21" t="e">
        <f>C41/C43</f>
        <v>#DIV/0!</v>
      </c>
      <c r="D37" s="18">
        <f t="shared" ref="D37:I37" si="11">D41/D43</f>
        <v>629594.0597839877</v>
      </c>
      <c r="E37" s="21">
        <f t="shared" si="11"/>
        <v>1020076.4640420533</v>
      </c>
      <c r="F37" s="18">
        <f t="shared" si="11"/>
        <v>10268877.382399432</v>
      </c>
      <c r="G37" s="21">
        <f t="shared" si="11"/>
        <v>13896031.145530934</v>
      </c>
      <c r="H37" s="18" t="e">
        <f t="shared" si="11"/>
        <v>#DIV/0!</v>
      </c>
      <c r="I37" s="21" t="e">
        <f t="shared" si="11"/>
        <v>#DIV/0!</v>
      </c>
      <c r="J37" s="15"/>
      <c r="K37" s="15"/>
    </row>
    <row r="38" spans="1:11" x14ac:dyDescent="0.3">
      <c r="A38" s="3" t="s">
        <v>97</v>
      </c>
      <c r="B38" s="18" t="e">
        <f>B31/B8</f>
        <v>#DIV/0!</v>
      </c>
      <c r="C38" s="18" t="e">
        <f>C31/C8</f>
        <v>#DIV/0!</v>
      </c>
      <c r="D38" s="18">
        <f t="shared" ref="D38:I38" si="12">D31/D8</f>
        <v>0</v>
      </c>
      <c r="E38" s="18">
        <f t="shared" si="12"/>
        <v>5.3491938655131817</v>
      </c>
      <c r="F38" s="18">
        <f t="shared" si="12"/>
        <v>0</v>
      </c>
      <c r="G38" s="18">
        <f t="shared" si="12"/>
        <v>54.429543222649407</v>
      </c>
      <c r="H38" s="18" t="e">
        <f t="shared" si="12"/>
        <v>#DIV/0!</v>
      </c>
      <c r="I38" s="18" t="e">
        <f t="shared" si="12"/>
        <v>#DIV/0!</v>
      </c>
      <c r="J38" s="18"/>
      <c r="K38" s="15"/>
    </row>
    <row r="39" spans="1:11" x14ac:dyDescent="0.3">
      <c r="A39" s="3"/>
      <c r="B39" s="3"/>
      <c r="C39" s="3"/>
      <c r="D39" s="7"/>
      <c r="E39" s="3"/>
      <c r="F39" s="7"/>
      <c r="G39" s="15"/>
      <c r="H39" s="7"/>
      <c r="I39" s="15"/>
      <c r="J39" s="8"/>
      <c r="K39" s="16"/>
    </row>
    <row r="40" spans="1:11" x14ac:dyDescent="0.3">
      <c r="A40" s="5" t="s">
        <v>98</v>
      </c>
      <c r="B40" s="3"/>
      <c r="C40" s="3"/>
      <c r="D40" s="7"/>
      <c r="E40" s="3"/>
      <c r="F40" s="7"/>
      <c r="G40" s="15"/>
      <c r="H40" s="7"/>
      <c r="I40" s="15"/>
      <c r="J40" s="8"/>
      <c r="K40" s="16"/>
    </row>
    <row r="41" spans="1:11" x14ac:dyDescent="0.3">
      <c r="A41" s="3" t="s">
        <v>99</v>
      </c>
      <c r="B41" s="18">
        <v>390</v>
      </c>
      <c r="C41" s="3">
        <v>758.1</v>
      </c>
      <c r="D41" s="15">
        <v>65.7</v>
      </c>
      <c r="E41" s="3">
        <v>115.5</v>
      </c>
      <c r="F41" s="15">
        <v>1404.65</v>
      </c>
      <c r="G41" s="15">
        <v>1961.95</v>
      </c>
      <c r="H41" s="15">
        <v>127.25</v>
      </c>
      <c r="I41" s="15">
        <v>146.4</v>
      </c>
      <c r="J41" s="16"/>
      <c r="K41" s="16"/>
    </row>
    <row r="42" spans="1:11" x14ac:dyDescent="0.3">
      <c r="A42" s="3" t="s">
        <v>100</v>
      </c>
      <c r="B42" s="17">
        <f>B19</f>
        <v>0</v>
      </c>
      <c r="C42" s="17">
        <f>C19</f>
        <v>0</v>
      </c>
      <c r="D42" s="17">
        <f t="shared" ref="D42:I42" si="13">D19</f>
        <v>27192.9</v>
      </c>
      <c r="E42" s="17">
        <f t="shared" si="13"/>
        <v>29505.300000000003</v>
      </c>
      <c r="F42" s="17">
        <f t="shared" si="13"/>
        <v>17580.91</v>
      </c>
      <c r="G42" s="17">
        <f t="shared" si="13"/>
        <v>18146.52</v>
      </c>
      <c r="H42" s="17">
        <f t="shared" si="13"/>
        <v>0</v>
      </c>
      <c r="I42" s="17">
        <f t="shared" si="13"/>
        <v>0</v>
      </c>
      <c r="J42" s="8"/>
      <c r="K42" s="8"/>
    </row>
    <row r="43" spans="1:11" x14ac:dyDescent="0.3">
      <c r="A43" s="3" t="s">
        <v>101</v>
      </c>
      <c r="B43" s="18" t="e">
        <f>B42/B29</f>
        <v>#DIV/0!</v>
      </c>
      <c r="C43" s="18" t="e">
        <f>C42/C29</f>
        <v>#DIV/0!</v>
      </c>
      <c r="D43" s="18">
        <f t="shared" ref="D43:G43" si="14">D42/D29</f>
        <v>1.0435295406462622E-4</v>
      </c>
      <c r="E43" s="18">
        <f t="shared" si="14"/>
        <v>1.1322680609876166E-4</v>
      </c>
      <c r="F43" s="18">
        <f t="shared" si="14"/>
        <v>1.3678710414904074E-4</v>
      </c>
      <c r="G43" s="18">
        <f t="shared" si="14"/>
        <v>1.4118779523828123E-4</v>
      </c>
      <c r="H43" s="15"/>
      <c r="I43" s="19"/>
      <c r="J43" s="15"/>
      <c r="K43" s="19"/>
    </row>
    <row r="44" spans="1:11" x14ac:dyDescent="0.3">
      <c r="A44" s="3" t="s">
        <v>102</v>
      </c>
      <c r="B44" s="20" t="e">
        <f>B12/B19</f>
        <v>#DIV/0!</v>
      </c>
      <c r="C44" s="20" t="e">
        <f>C12/C19</f>
        <v>#DIV/0!</v>
      </c>
      <c r="D44" s="20">
        <f t="shared" ref="D44:I44" si="15">D12/D19</f>
        <v>-1.0072482155268469E-2</v>
      </c>
      <c r="E44" s="20">
        <f t="shared" si="15"/>
        <v>8.187681535181815E-2</v>
      </c>
      <c r="F44" s="20">
        <f t="shared" si="15"/>
        <v>-5.0793730244907687E-2</v>
      </c>
      <c r="G44" s="20">
        <f t="shared" si="15"/>
        <v>5.6760194241099668E-2</v>
      </c>
      <c r="H44" s="20" t="e">
        <f t="shared" si="15"/>
        <v>#DIV/0!</v>
      </c>
      <c r="I44" s="20" t="e">
        <f t="shared" si="15"/>
        <v>#DIV/0!</v>
      </c>
      <c r="J44" s="14"/>
      <c r="K44" s="14"/>
    </row>
    <row r="45" spans="1:11" x14ac:dyDescent="0.3">
      <c r="A45" s="3" t="s">
        <v>103</v>
      </c>
      <c r="B45" s="22" t="e">
        <f>B46/B48</f>
        <v>#DIV/0!</v>
      </c>
      <c r="C45" s="22" t="e">
        <f>C46/C48</f>
        <v>#DIV/0!</v>
      </c>
      <c r="D45" s="20">
        <f t="shared" ref="D45:I45" si="16">D46/D48</f>
        <v>4.351825053836747E-2</v>
      </c>
      <c r="E45" s="20">
        <f t="shared" si="16"/>
        <v>0.12866794091920591</v>
      </c>
      <c r="F45" s="22">
        <f t="shared" si="16"/>
        <v>6.0894450763792907E-2</v>
      </c>
      <c r="G45" s="22">
        <f t="shared" si="16"/>
        <v>0.22817654052125738</v>
      </c>
      <c r="H45" s="22" t="e">
        <f t="shared" si="16"/>
        <v>#DIV/0!</v>
      </c>
      <c r="I45" s="22" t="e">
        <f t="shared" si="16"/>
        <v>#DIV/0!</v>
      </c>
      <c r="J45" s="24"/>
      <c r="K45" s="25"/>
    </row>
    <row r="46" spans="1:11" x14ac:dyDescent="0.3">
      <c r="A46" s="3" t="s">
        <v>104</v>
      </c>
      <c r="B46" s="26">
        <f>B8-B47</f>
        <v>0</v>
      </c>
      <c r="C46" s="26">
        <f>C8-C47</f>
        <v>0</v>
      </c>
      <c r="D46" s="26">
        <f>D8-D47</f>
        <v>1774.2999999999956</v>
      </c>
      <c r="E46" s="17">
        <f>E8-E47</f>
        <v>5163.199999999988</v>
      </c>
      <c r="F46" s="26">
        <f t="shared" ref="F46:I46" si="17">F8-F47</f>
        <v>1595.3249999999994</v>
      </c>
      <c r="G46" s="17">
        <f t="shared" si="17"/>
        <v>4160.9935999999989</v>
      </c>
      <c r="H46" s="26">
        <f t="shared" si="17"/>
        <v>0</v>
      </c>
      <c r="I46" s="17">
        <f t="shared" si="17"/>
        <v>0</v>
      </c>
      <c r="J46" s="24"/>
      <c r="K46" s="25"/>
    </row>
    <row r="47" spans="1:11" x14ac:dyDescent="0.3">
      <c r="A47" s="3" t="s">
        <v>5</v>
      </c>
      <c r="B47" s="20"/>
      <c r="C47" s="20"/>
      <c r="D47" s="31">
        <f>285.15*10</f>
        <v>2851.5</v>
      </c>
      <c r="E47" s="3">
        <f>272.01*10</f>
        <v>2720.1</v>
      </c>
      <c r="F47" s="31">
        <v>26.475000000000001</v>
      </c>
      <c r="G47" s="33">
        <v>24.196400000000001</v>
      </c>
      <c r="H47" s="14"/>
      <c r="I47" s="23"/>
      <c r="J47" s="24"/>
      <c r="K47" s="25"/>
    </row>
    <row r="48" spans="1:11" x14ac:dyDescent="0.3">
      <c r="A48" s="3" t="s">
        <v>105</v>
      </c>
      <c r="B48" s="26">
        <f>B19+B49</f>
        <v>0</v>
      </c>
      <c r="C48" s="26">
        <f>C19+C49</f>
        <v>0</v>
      </c>
      <c r="D48" s="26">
        <f t="shared" ref="D48:I48" si="18">D19+D49</f>
        <v>40771.4</v>
      </c>
      <c r="E48" s="26">
        <f t="shared" si="18"/>
        <v>40128.100000000006</v>
      </c>
      <c r="F48" s="26">
        <f t="shared" si="18"/>
        <v>26198.2</v>
      </c>
      <c r="G48" s="26">
        <f t="shared" si="18"/>
        <v>18235.851900000001</v>
      </c>
      <c r="H48" s="26">
        <f t="shared" si="18"/>
        <v>0</v>
      </c>
      <c r="I48" s="26">
        <f t="shared" si="18"/>
        <v>0</v>
      </c>
      <c r="J48" s="24"/>
      <c r="K48" s="25"/>
    </row>
    <row r="49" spans="1:11" x14ac:dyDescent="0.3">
      <c r="A49" s="3" t="s">
        <v>106</v>
      </c>
      <c r="B49" s="20"/>
      <c r="C49" s="20"/>
      <c r="D49" s="31">
        <f>1357.85*10</f>
        <v>13578.5</v>
      </c>
      <c r="E49" s="3">
        <f>1062.28*10</f>
        <v>10622.8</v>
      </c>
      <c r="F49" s="31">
        <v>8617.2900000000009</v>
      </c>
      <c r="G49" s="33">
        <v>89.331900000000005</v>
      </c>
      <c r="H49" s="14"/>
      <c r="I49" s="23"/>
      <c r="J49" s="24"/>
      <c r="K49" s="25"/>
    </row>
    <row r="50" spans="1:11" x14ac:dyDescent="0.3">
      <c r="A50" s="3" t="s">
        <v>107</v>
      </c>
      <c r="B50" s="3" t="e">
        <f>B5/SUM(B51:B53)</f>
        <v>#DIV/0!</v>
      </c>
      <c r="C50" s="3" t="e">
        <f>C5/SUM(C51:C53)</f>
        <v>#DIV/0!</v>
      </c>
      <c r="D50" s="3">
        <f t="shared" ref="D50:I50" si="19">D5/SUM(D51:D53)</f>
        <v>1.4275567662180146</v>
      </c>
      <c r="E50" s="3">
        <f t="shared" si="19"/>
        <v>2.4337703805582649</v>
      </c>
      <c r="F50" s="3">
        <f t="shared" si="19"/>
        <v>5.4660865113898129</v>
      </c>
      <c r="G50" s="3">
        <f t="shared" si="19"/>
        <v>8.1706840502344029</v>
      </c>
      <c r="H50" s="3" t="e">
        <f t="shared" si="19"/>
        <v>#DIV/0!</v>
      </c>
      <c r="I50" s="3" t="e">
        <f t="shared" si="19"/>
        <v>#DIV/0!</v>
      </c>
      <c r="J50" s="16"/>
      <c r="K50" s="16"/>
    </row>
    <row r="51" spans="1:11" x14ac:dyDescent="0.3">
      <c r="A51" s="3" t="s">
        <v>108</v>
      </c>
      <c r="B51" s="18"/>
      <c r="C51" s="18"/>
      <c r="D51" s="15">
        <f>3405.38*10</f>
        <v>34053.800000000003</v>
      </c>
      <c r="E51" s="3">
        <f>3189.36*10</f>
        <v>31893.600000000002</v>
      </c>
      <c r="F51" s="15">
        <v>2834.12</v>
      </c>
      <c r="G51" s="15">
        <v>2885.07</v>
      </c>
      <c r="H51" s="15"/>
      <c r="I51" s="15"/>
      <c r="J51" s="16"/>
      <c r="K51" s="16"/>
    </row>
    <row r="52" spans="1:11" x14ac:dyDescent="0.3">
      <c r="A52" s="3" t="s">
        <v>109</v>
      </c>
      <c r="B52" s="18"/>
      <c r="C52" s="18"/>
      <c r="D52" s="15">
        <f>77.95*10</f>
        <v>779.5</v>
      </c>
      <c r="E52" s="3">
        <f>45.32*10</f>
        <v>453.2</v>
      </c>
      <c r="F52" s="15">
        <v>291.48</v>
      </c>
      <c r="G52" s="15">
        <v>37.229999999999997</v>
      </c>
      <c r="H52" s="15"/>
      <c r="I52" s="15"/>
      <c r="J52" s="16"/>
      <c r="K52" s="16"/>
    </row>
    <row r="53" spans="1:11" x14ac:dyDescent="0.3">
      <c r="A53" s="3" t="s">
        <v>110</v>
      </c>
      <c r="B53" s="18"/>
      <c r="C53" s="18"/>
      <c r="D53" s="15">
        <f>70.28*10</f>
        <v>702.8</v>
      </c>
      <c r="E53" s="3">
        <f>66.26*10</f>
        <v>662.6</v>
      </c>
      <c r="F53" s="15">
        <v>0</v>
      </c>
      <c r="G53" s="15">
        <v>0</v>
      </c>
      <c r="H53" s="15"/>
      <c r="I53" s="15"/>
      <c r="J53" s="16"/>
      <c r="K53" s="16"/>
    </row>
    <row r="54" spans="1:11" x14ac:dyDescent="0.3">
      <c r="A54" s="3" t="s">
        <v>111</v>
      </c>
      <c r="B54" s="18" t="e">
        <f>B20/B19</f>
        <v>#DIV/0!</v>
      </c>
      <c r="C54" s="18" t="e">
        <f>C20/C19</f>
        <v>#DIV/0!</v>
      </c>
      <c r="D54" s="18">
        <f t="shared" ref="D54:I54" si="20">D20/D19</f>
        <v>0.73627674871014126</v>
      </c>
      <c r="E54" s="18">
        <f t="shared" si="20"/>
        <v>0.5963165939678633</v>
      </c>
      <c r="F54" s="18">
        <f t="shared" si="20"/>
        <v>0</v>
      </c>
      <c r="G54" s="18">
        <f t="shared" si="20"/>
        <v>0</v>
      </c>
      <c r="H54" s="18" t="e">
        <f t="shared" si="20"/>
        <v>#DIV/0!</v>
      </c>
      <c r="I54" s="18" t="e">
        <f t="shared" si="20"/>
        <v>#DIV/0!</v>
      </c>
      <c r="J54" s="15"/>
      <c r="K54" s="15"/>
    </row>
    <row r="55" spans="1:11" x14ac:dyDescent="0.3">
      <c r="A55" s="3" t="s">
        <v>112</v>
      </c>
      <c r="B55" s="3" t="e">
        <f>(B20-B32)/B19</f>
        <v>#DIV/0!</v>
      </c>
      <c r="C55" s="3" t="e">
        <f>(C20-C32)/C19</f>
        <v>#DIV/0!</v>
      </c>
      <c r="D55" s="3">
        <f t="shared" ref="D55:I55" si="21">(D20-D32)/D19</f>
        <v>0.72630355717852813</v>
      </c>
      <c r="E55" s="3">
        <f t="shared" si="21"/>
        <v>0.57605582725815363</v>
      </c>
      <c r="F55" s="3">
        <f t="shared" si="21"/>
        <v>-3.099384502849966E-2</v>
      </c>
      <c r="G55" s="3">
        <f t="shared" si="21"/>
        <v>-9.7936133209011976E-3</v>
      </c>
      <c r="H55" s="3" t="e">
        <f t="shared" si="21"/>
        <v>#DIV/0!</v>
      </c>
      <c r="I55" s="3" t="e">
        <f t="shared" si="21"/>
        <v>#DIV/0!</v>
      </c>
      <c r="J55" s="16"/>
      <c r="K55" s="16"/>
    </row>
    <row r="56" spans="1:11" x14ac:dyDescent="0.3">
      <c r="A56" s="3" t="s">
        <v>113</v>
      </c>
      <c r="B56" s="18" t="e">
        <f>B57/B58</f>
        <v>#DIV/0!</v>
      </c>
      <c r="C56" s="18" t="e">
        <f>C57/C58</f>
        <v>#DIV/0!</v>
      </c>
      <c r="D56" s="18">
        <f t="shared" ref="D56:I56" si="22">D57/D58</f>
        <v>0.790298873101419</v>
      </c>
      <c r="E56" s="18">
        <f t="shared" si="22"/>
        <v>2.9264864252111247</v>
      </c>
      <c r="F56" s="18">
        <f t="shared" si="22"/>
        <v>1.718766834019263</v>
      </c>
      <c r="G56" s="18">
        <f t="shared" si="22"/>
        <v>4.0185364817229212</v>
      </c>
      <c r="H56" s="18" t="e">
        <f t="shared" si="22"/>
        <v>#DIV/0!</v>
      </c>
      <c r="I56" s="18" t="e">
        <f t="shared" si="22"/>
        <v>#DIV/0!</v>
      </c>
      <c r="J56" s="16"/>
      <c r="K56" s="16"/>
    </row>
    <row r="57" spans="1:11" x14ac:dyDescent="0.3">
      <c r="A57" s="3" t="s">
        <v>104</v>
      </c>
      <c r="B57" s="18"/>
      <c r="C57" s="18"/>
      <c r="D57" s="15">
        <f>D46</f>
        <v>1774.2999999999956</v>
      </c>
      <c r="E57" s="15">
        <f>E46</f>
        <v>5163.199999999988</v>
      </c>
      <c r="F57" s="15">
        <f t="shared" ref="F57:I57" si="23">F46</f>
        <v>1595.3249999999994</v>
      </c>
      <c r="G57" s="15">
        <f t="shared" si="23"/>
        <v>4160.9935999999989</v>
      </c>
      <c r="H57" s="15">
        <f t="shared" si="23"/>
        <v>0</v>
      </c>
      <c r="I57" s="15">
        <f t="shared" si="23"/>
        <v>0</v>
      </c>
      <c r="J57" s="16"/>
      <c r="K57" s="16"/>
    </row>
    <row r="58" spans="1:11" x14ac:dyDescent="0.3">
      <c r="A58" s="3" t="s">
        <v>114</v>
      </c>
      <c r="B58" s="18"/>
      <c r="C58" s="18"/>
      <c r="D58" s="15">
        <f>224.51*10</f>
        <v>2245.1</v>
      </c>
      <c r="E58" s="15">
        <f>176.43*10</f>
        <v>1764.3000000000002</v>
      </c>
      <c r="F58" s="15">
        <v>928.18</v>
      </c>
      <c r="G58" s="15">
        <v>1035.45</v>
      </c>
      <c r="H58" s="27"/>
      <c r="I58" s="15"/>
      <c r="J58" s="16"/>
      <c r="K58" s="16"/>
    </row>
    <row r="59" spans="1:11" x14ac:dyDescent="0.3">
      <c r="A59" s="28" t="s">
        <v>115</v>
      </c>
      <c r="B59" s="29" t="e">
        <f>B58/B20</f>
        <v>#DIV/0!</v>
      </c>
      <c r="C59" s="29" t="e">
        <f>C58/C20</f>
        <v>#DIV/0!</v>
      </c>
      <c r="D59" s="32">
        <f t="shared" ref="D59:I59" si="24">D58/D20</f>
        <v>0.11213445546038009</v>
      </c>
      <c r="E59" s="32">
        <f t="shared" si="24"/>
        <v>0.10027565432379437</v>
      </c>
      <c r="F59" s="29" t="e">
        <f t="shared" si="24"/>
        <v>#DIV/0!</v>
      </c>
      <c r="G59" s="29" t="e">
        <f t="shared" si="24"/>
        <v>#DIV/0!</v>
      </c>
      <c r="H59" s="29" t="e">
        <f t="shared" si="24"/>
        <v>#DIV/0!</v>
      </c>
      <c r="I59" s="29" t="e">
        <f t="shared" si="24"/>
        <v>#DIV/0!</v>
      </c>
      <c r="J59" s="30"/>
      <c r="K59" s="30"/>
    </row>
  </sheetData>
  <mergeCells count="5">
    <mergeCell ref="B2:C2"/>
    <mergeCell ref="D2:E2"/>
    <mergeCell ref="F2:G2"/>
    <mergeCell ref="H2:I2"/>
    <mergeCell ref="J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peer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 gala</dc:creator>
  <cp:lastModifiedBy>DELL</cp:lastModifiedBy>
  <cp:lastPrinted>2024-03-06T13:13:44Z</cp:lastPrinted>
  <dcterms:created xsi:type="dcterms:W3CDTF">2022-02-14T05:39:32Z</dcterms:created>
  <dcterms:modified xsi:type="dcterms:W3CDTF">2026-08-20T06:42:55Z</dcterms:modified>
</cp:coreProperties>
</file>