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Harshit\Yatra\Summary Sheet\Q1-FY27\"/>
    </mc:Choice>
  </mc:AlternateContent>
  <xr:revisionPtr revIDLastSave="0" documentId="8_{80663DA8-13A2-4966-AB0D-9B74601CFD4D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2" i="1" l="1"/>
  <c r="V79" i="1"/>
  <c r="V80" i="1"/>
  <c r="K71" i="1"/>
  <c r="K45" i="1"/>
  <c r="K31" i="1"/>
  <c r="K30" i="1"/>
  <c r="K22" i="1"/>
  <c r="K16" i="1"/>
  <c r="K15" i="1"/>
  <c r="K13" i="1"/>
  <c r="K73" i="1"/>
  <c r="K72" i="1"/>
  <c r="K69" i="1"/>
  <c r="K44" i="1"/>
  <c r="J52" i="1"/>
  <c r="J51" i="1"/>
  <c r="J6" i="1"/>
  <c r="J5" i="1"/>
  <c r="U98" i="1"/>
  <c r="U92" i="1"/>
  <c r="U79" i="1"/>
  <c r="U82" i="1" s="1"/>
  <c r="U35" i="1"/>
  <c r="J73" i="1"/>
  <c r="I65" i="1"/>
  <c r="J65" i="1"/>
  <c r="J64" i="1"/>
  <c r="J59" i="1"/>
  <c r="J30" i="1"/>
  <c r="D38" i="1"/>
  <c r="E38" i="1"/>
  <c r="D51" i="1"/>
  <c r="F51" i="1"/>
  <c r="G51" i="1"/>
  <c r="H51" i="1"/>
  <c r="I51" i="1"/>
  <c r="E51" i="1"/>
  <c r="F52" i="1"/>
  <c r="G52" i="1"/>
  <c r="I52" i="1"/>
  <c r="H52" i="1"/>
  <c r="C15" i="1"/>
  <c r="D15" i="1"/>
  <c r="E15" i="1"/>
  <c r="F15" i="1"/>
  <c r="G15" i="1"/>
  <c r="C13" i="1"/>
  <c r="D13" i="1"/>
  <c r="E13" i="1"/>
  <c r="F13" i="1"/>
  <c r="G13" i="1"/>
  <c r="I13" i="1"/>
  <c r="J10" i="1"/>
  <c r="J15" i="1" s="1"/>
  <c r="I10" i="1"/>
  <c r="I15" i="1" s="1"/>
  <c r="T35" i="1"/>
  <c r="U10" i="1"/>
  <c r="I69" i="1"/>
  <c r="I59" i="1"/>
  <c r="I30" i="1"/>
  <c r="U69" i="1"/>
  <c r="U56" i="1"/>
  <c r="U45" i="1"/>
  <c r="U97" i="1" s="1"/>
  <c r="U16" i="1"/>
  <c r="J72" i="1" s="1"/>
  <c r="J69" i="1"/>
  <c r="J71" i="1" s="1"/>
  <c r="I35" i="1"/>
  <c r="J35" i="1"/>
  <c r="K32" i="1" l="1"/>
  <c r="K36" i="1" s="1"/>
  <c r="K37" i="1"/>
  <c r="J22" i="1"/>
  <c r="J31" i="1" s="1"/>
  <c r="J18" i="1"/>
  <c r="J17" i="1"/>
  <c r="J16" i="1"/>
  <c r="I22" i="1"/>
  <c r="J74" i="1"/>
  <c r="U84" i="1" s="1"/>
  <c r="J13" i="1"/>
  <c r="U93" i="1" s="1"/>
  <c r="U95" i="1" s="1"/>
  <c r="U73" i="1"/>
  <c r="U12" i="1" s="1"/>
  <c r="U80" i="1" s="1"/>
  <c r="U83" i="1" s="1"/>
  <c r="J66" i="1"/>
  <c r="U71" i="1"/>
  <c r="U74" i="1"/>
  <c r="U75" i="1" s="1"/>
  <c r="U89" i="1" l="1"/>
  <c r="U88" i="1"/>
  <c r="J32" i="1"/>
  <c r="U91" i="1"/>
  <c r="U18" i="1"/>
  <c r="U87" i="1" s="1"/>
  <c r="J44" i="1"/>
  <c r="N98" i="1" l="1"/>
  <c r="O98" i="1"/>
  <c r="P98" i="1"/>
  <c r="Q98" i="1"/>
  <c r="R98" i="1"/>
  <c r="S98" i="1"/>
  <c r="T98" i="1"/>
  <c r="T92" i="1"/>
  <c r="I6" i="1"/>
  <c r="I5" i="1"/>
  <c r="T82" i="1"/>
  <c r="S92" i="1"/>
  <c r="J36" i="1" l="1"/>
  <c r="T15" i="1"/>
  <c r="T14" i="1"/>
  <c r="T45" i="1"/>
  <c r="T69" i="1"/>
  <c r="T56" i="1"/>
  <c r="T10" i="1"/>
  <c r="I73" i="1"/>
  <c r="I64" i="1"/>
  <c r="I66" i="1" s="1"/>
  <c r="I44" i="1"/>
  <c r="I71" i="1"/>
  <c r="T93" i="1"/>
  <c r="T95" i="1" s="1"/>
  <c r="U86" i="1" l="1"/>
  <c r="J37" i="1"/>
  <c r="T71" i="1"/>
  <c r="U96" i="1" s="1"/>
  <c r="J45" i="1"/>
  <c r="I16" i="1"/>
  <c r="T97" i="1"/>
  <c r="I32" i="1"/>
  <c r="T16" i="1"/>
  <c r="T74" i="1"/>
  <c r="T75" i="1" s="1"/>
  <c r="U85" i="1" s="1"/>
  <c r="T73" i="1"/>
  <c r="T12" i="1" s="1"/>
  <c r="H64" i="1"/>
  <c r="H65" i="1"/>
  <c r="G65" i="1"/>
  <c r="N92" i="1"/>
  <c r="T18" i="1" l="1"/>
  <c r="T87" i="1" s="1"/>
  <c r="T80" i="1"/>
  <c r="T83" i="1" s="1"/>
  <c r="T88" i="1"/>
  <c r="T91" i="1"/>
  <c r="I72" i="1"/>
  <c r="I31" i="1"/>
  <c r="T89" i="1"/>
  <c r="S15" i="1"/>
  <c r="R15" i="1"/>
  <c r="S14" i="1"/>
  <c r="R14" i="1"/>
  <c r="H10" i="1"/>
  <c r="H66" i="1"/>
  <c r="G64" i="1"/>
  <c r="H30" i="1"/>
  <c r="R93" i="1"/>
  <c r="H6" i="1"/>
  <c r="G6" i="1"/>
  <c r="G5" i="1"/>
  <c r="H5" i="1"/>
  <c r="F5" i="1"/>
  <c r="H13" i="1" l="1"/>
  <c r="S93" i="1" s="1"/>
  <c r="S95" i="1" s="1"/>
  <c r="H15" i="1"/>
  <c r="I17" i="1" s="1"/>
  <c r="I74" i="1"/>
  <c r="T84" i="1" s="1"/>
  <c r="I36" i="1"/>
  <c r="J38" i="1" s="1"/>
  <c r="S79" i="1"/>
  <c r="T86" i="1" l="1"/>
  <c r="I37" i="1"/>
  <c r="I45" i="1"/>
  <c r="J46" i="1" s="1"/>
  <c r="S16" i="1"/>
  <c r="H71" i="1"/>
  <c r="F6" i="1" l="1"/>
  <c r="N79" i="1" l="1"/>
  <c r="F65" i="1"/>
  <c r="D5" i="1"/>
  <c r="E5" i="1"/>
  <c r="Q92" i="1"/>
  <c r="P92" i="1"/>
  <c r="O92" i="1"/>
  <c r="R92" i="1"/>
  <c r="R95" i="1" s="1"/>
  <c r="E65" i="1"/>
  <c r="D65" i="1"/>
  <c r="C65" i="1"/>
  <c r="G66" i="1"/>
  <c r="F64" i="1"/>
  <c r="F66" i="1" s="1"/>
  <c r="E64" i="1"/>
  <c r="D64" i="1"/>
  <c r="C64" i="1"/>
  <c r="H73" i="1"/>
  <c r="F59" i="1"/>
  <c r="F61" i="1" s="1"/>
  <c r="G55" i="1" s="1"/>
  <c r="G59" i="1"/>
  <c r="H59" i="1"/>
  <c r="S69" i="1"/>
  <c r="S56" i="1"/>
  <c r="S45" i="1"/>
  <c r="S35" i="1"/>
  <c r="H72" i="1"/>
  <c r="S10" i="1"/>
  <c r="H44" i="1"/>
  <c r="G30" i="1"/>
  <c r="F30" i="1"/>
  <c r="E30" i="1"/>
  <c r="D30" i="1"/>
  <c r="C30" i="1"/>
  <c r="I18" i="1"/>
  <c r="C22" i="1"/>
  <c r="N91" i="1" s="1"/>
  <c r="F44" i="1"/>
  <c r="E44" i="1"/>
  <c r="E45" i="1" s="1"/>
  <c r="D44" i="1"/>
  <c r="D45" i="1" s="1"/>
  <c r="C44" i="1"/>
  <c r="C45" i="1" s="1"/>
  <c r="G44" i="1"/>
  <c r="C35" i="1"/>
  <c r="O93" i="1"/>
  <c r="N93" i="1"/>
  <c r="N95" i="1" s="1"/>
  <c r="Q10" i="1"/>
  <c r="P10" i="1"/>
  <c r="O10" i="1"/>
  <c r="N10" i="1"/>
  <c r="R10" i="1"/>
  <c r="Q93" i="1"/>
  <c r="P93" i="1"/>
  <c r="D35" i="1"/>
  <c r="C59" i="1"/>
  <c r="C61" i="1" s="1"/>
  <c r="C71" i="1"/>
  <c r="C73" i="1"/>
  <c r="E46" i="1" l="1"/>
  <c r="D46" i="1"/>
  <c r="C31" i="1"/>
  <c r="S97" i="1"/>
  <c r="E66" i="1"/>
  <c r="O95" i="1"/>
  <c r="G17" i="1"/>
  <c r="S73" i="1"/>
  <c r="S12" i="1" s="1"/>
  <c r="S18" i="1" s="1"/>
  <c r="S71" i="1"/>
  <c r="T96" i="1" s="1"/>
  <c r="G61" i="1"/>
  <c r="H55" i="1" s="1"/>
  <c r="H61" i="1" s="1"/>
  <c r="P95" i="1"/>
  <c r="Q95" i="1"/>
  <c r="S74" i="1"/>
  <c r="S75" i="1" s="1"/>
  <c r="T85" i="1" s="1"/>
  <c r="F22" i="1"/>
  <c r="Q91" i="1" s="1"/>
  <c r="F17" i="1"/>
  <c r="H17" i="1"/>
  <c r="H18" i="1"/>
  <c r="H22" i="1"/>
  <c r="H74" i="1"/>
  <c r="S84" i="1" s="1"/>
  <c r="H16" i="1"/>
  <c r="F18" i="1"/>
  <c r="C66" i="1"/>
  <c r="D66" i="1"/>
  <c r="C32" i="1"/>
  <c r="G18" i="1"/>
  <c r="N82" i="1"/>
  <c r="O79" i="1"/>
  <c r="O82" i="1" s="1"/>
  <c r="P79" i="1"/>
  <c r="P82" i="1" s="1"/>
  <c r="Q79" i="1"/>
  <c r="Q82" i="1" s="1"/>
  <c r="R79" i="1"/>
  <c r="R82" i="1" s="1"/>
  <c r="D71" i="1"/>
  <c r="E71" i="1"/>
  <c r="F71" i="1"/>
  <c r="G71" i="1"/>
  <c r="D73" i="1"/>
  <c r="E73" i="1"/>
  <c r="F73" i="1"/>
  <c r="G73" i="1"/>
  <c r="E59" i="1"/>
  <c r="E61" i="1" s="1"/>
  <c r="D59" i="1"/>
  <c r="D61" i="1" s="1"/>
  <c r="I55" i="1" l="1"/>
  <c r="I61" i="1" s="1"/>
  <c r="J55" i="1" s="1"/>
  <c r="J61" i="1" s="1"/>
  <c r="H31" i="1"/>
  <c r="S91" i="1"/>
  <c r="F31" i="1"/>
  <c r="S88" i="1"/>
  <c r="S89" i="1"/>
  <c r="H32" i="1"/>
  <c r="S80" i="1"/>
  <c r="S83" i="1" s="1"/>
  <c r="H35" i="1"/>
  <c r="G35" i="1"/>
  <c r="N59" i="1"/>
  <c r="N69" i="1" s="1"/>
  <c r="N45" i="1"/>
  <c r="N35" i="1"/>
  <c r="N16" i="1"/>
  <c r="C72" i="1" s="1"/>
  <c r="C74" i="1" s="1"/>
  <c r="O16" i="1"/>
  <c r="N56" i="1"/>
  <c r="E35" i="1"/>
  <c r="F35" i="1"/>
  <c r="Q16" i="1"/>
  <c r="R16" i="1"/>
  <c r="P16" i="1"/>
  <c r="O45" i="1"/>
  <c r="P45" i="1"/>
  <c r="P69" i="1"/>
  <c r="R35" i="1"/>
  <c r="O59" i="1"/>
  <c r="O69" i="1" s="1"/>
  <c r="Q69" i="1"/>
  <c r="R69" i="1"/>
  <c r="O56" i="1"/>
  <c r="P56" i="1"/>
  <c r="Q56" i="1"/>
  <c r="R56" i="1"/>
  <c r="R45" i="1"/>
  <c r="Q45" i="1"/>
  <c r="O35" i="1"/>
  <c r="P35" i="1"/>
  <c r="Q35" i="1"/>
  <c r="N97" i="1" l="1"/>
  <c r="R97" i="1"/>
  <c r="P97" i="1"/>
  <c r="Q97" i="1"/>
  <c r="O97" i="1"/>
  <c r="H36" i="1"/>
  <c r="Q74" i="1"/>
  <c r="Q75" i="1" s="1"/>
  <c r="S87" i="1"/>
  <c r="R74" i="1"/>
  <c r="R75" i="1" s="1"/>
  <c r="S85" i="1" s="1"/>
  <c r="O71" i="1"/>
  <c r="R71" i="1"/>
  <c r="S96" i="1" s="1"/>
  <c r="D16" i="1"/>
  <c r="D22" i="1"/>
  <c r="P73" i="1"/>
  <c r="P71" i="1"/>
  <c r="N74" i="1"/>
  <c r="N75" i="1" s="1"/>
  <c r="N73" i="1"/>
  <c r="O73" i="1"/>
  <c r="O74" i="1"/>
  <c r="O75" i="1" s="1"/>
  <c r="P74" i="1"/>
  <c r="P75" i="1" s="1"/>
  <c r="R73" i="1"/>
  <c r="R12" i="1" s="1"/>
  <c r="R18" i="1" s="1"/>
  <c r="N71" i="1"/>
  <c r="E72" i="1"/>
  <c r="E74" i="1" s="1"/>
  <c r="G72" i="1"/>
  <c r="G74" i="1" s="1"/>
  <c r="F72" i="1"/>
  <c r="F74" i="1" s="1"/>
  <c r="D72" i="1"/>
  <c r="D74" i="1" s="1"/>
  <c r="G16" i="1"/>
  <c r="F16" i="1"/>
  <c r="E16" i="1"/>
  <c r="G22" i="1"/>
  <c r="E22" i="1"/>
  <c r="Q73" i="1"/>
  <c r="Q71" i="1"/>
  <c r="S86" i="1" l="1"/>
  <c r="H39" i="1"/>
  <c r="I38" i="1"/>
  <c r="R91" i="1"/>
  <c r="G31" i="1"/>
  <c r="P91" i="1"/>
  <c r="E31" i="1"/>
  <c r="O91" i="1"/>
  <c r="D31" i="1"/>
  <c r="H45" i="1"/>
  <c r="H37" i="1"/>
  <c r="E32" i="1"/>
  <c r="G32" i="1"/>
  <c r="G36" i="1" s="1"/>
  <c r="J39" i="1" s="1"/>
  <c r="D32" i="1"/>
  <c r="Q96" i="1"/>
  <c r="Q12" i="1"/>
  <c r="O96" i="1"/>
  <c r="N96" i="1"/>
  <c r="O12" i="1"/>
  <c r="O89" i="1" s="1"/>
  <c r="P12" i="1"/>
  <c r="P96" i="1"/>
  <c r="R96" i="1"/>
  <c r="N12" i="1"/>
  <c r="R88" i="1"/>
  <c r="R89" i="1"/>
  <c r="R87" i="1"/>
  <c r="F32" i="1"/>
  <c r="P85" i="1"/>
  <c r="R85" i="1"/>
  <c r="Q85" i="1"/>
  <c r="O85" i="1"/>
  <c r="O86" i="1" l="1"/>
  <c r="H47" i="1"/>
  <c r="I46" i="1"/>
  <c r="H38" i="1"/>
  <c r="P89" i="1"/>
  <c r="P18" i="1"/>
  <c r="P87" i="1" s="1"/>
  <c r="O18" i="1"/>
  <c r="O87" i="1" s="1"/>
  <c r="Q18" i="1"/>
  <c r="Q87" i="1" s="1"/>
  <c r="N86" i="1"/>
  <c r="N18" i="1"/>
  <c r="N87" i="1" s="1"/>
  <c r="G45" i="1"/>
  <c r="J47" i="1" s="1"/>
  <c r="G39" i="1"/>
  <c r="O88" i="1"/>
  <c r="Q88" i="1"/>
  <c r="N88" i="1"/>
  <c r="Q89" i="1"/>
  <c r="N89" i="1"/>
  <c r="P88" i="1"/>
  <c r="F36" i="1"/>
  <c r="R86" i="1"/>
  <c r="P86" i="1"/>
  <c r="D37" i="1"/>
  <c r="E37" i="1"/>
  <c r="G37" i="1"/>
  <c r="G47" i="1" l="1"/>
  <c r="H46" i="1"/>
  <c r="F38" i="1"/>
  <c r="I39" i="1"/>
  <c r="G38" i="1"/>
  <c r="Q86" i="1"/>
  <c r="F45" i="1"/>
  <c r="F37" i="1"/>
  <c r="F39" i="1"/>
  <c r="F47" i="1" l="1"/>
  <c r="F46" i="1"/>
  <c r="I47" i="1"/>
  <c r="G46" i="1"/>
</calcChain>
</file>

<file path=xl/sharedStrings.xml><?xml version="1.0" encoding="utf-8"?>
<sst xmlns="http://schemas.openxmlformats.org/spreadsheetml/2006/main" count="283" uniqueCount="161">
  <si>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</si>
  <si>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</si>
  <si>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</si>
  <si>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</si>
  <si>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</si>
  <si>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</si>
  <si>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</si>
  <si>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</si>
  <si>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</si>
  <si>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</si>
  <si>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</si>
  <si>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</si>
  <si>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</si>
  <si>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</si>
  <si>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</si>
  <si>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</si>
  <si>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</si>
  <si>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</si>
  <si>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</si>
  <si>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</si>
  <si>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</si>
  <si>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</si>
  <si>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</si>
  <si>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</si>
  <si>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</si>
  <si>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</si>
  <si>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</si>
  <si>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</si>
  <si>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</si>
  <si>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</si>
  <si>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</si>
  <si>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</si>
  <si>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</si>
  <si>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</si>
  <si>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</si>
  <si>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</si>
  <si>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</si>
  <si>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</si>
  <si>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</si>
  <si>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</si>
  <si>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</si>
  <si>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</si>
  <si>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</si>
  <si>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</si>
  <si>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</si>
  <si>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</si>
  <si>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</si>
  <si>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</si>
  <si>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</si>
  <si>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</si>
  <si>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</si>
  <si>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</si>
  <si>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</si>
  <si>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</si>
  <si>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</si>
  <si>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</si>
  <si>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</si>
  <si>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</si>
  <si>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</si>
  <si>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</si>
  <si>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</si>
  <si>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</si>
  <si>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</si>
  <si>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</si>
  <si>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</si>
  <si>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</si>
  <si>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</si>
  <si>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</si>
  <si>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</si>
  <si>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</si>
  <si>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</si>
  <si>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</si>
  <si>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</si>
  <si>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</si>
  <si>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</si>
  <si>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</si>
  <si>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</si>
  <si>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</si>
  <si>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</si>
  <si>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</si>
  <si>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</si>
  <si>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</si>
  <si>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</si>
  <si>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</si>
  <si>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</si>
  <si>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</si>
  <si>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</si>
  <si>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</si>
  <si>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</si>
  <si>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</si>
  <si>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</si>
  <si>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</si>
  <si>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</si>
  <si>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</si>
  <si>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</si>
  <si>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</si>
  <si>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</si>
  <si>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</si>
  <si>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</si>
  <si>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</si>
  <si>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</si>
  <si>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</si>
  <si>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</si>
  <si>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</si>
  <si>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</si>
  <si>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</si>
  <si>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</si>
  <si>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</si>
  <si>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</si>
  <si>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</si>
  <si>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</si>
  <si>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</si>
  <si>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</si>
  <si>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</si>
  <si>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</si>
  <si>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</si>
  <si>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</si>
  <si>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</si>
  <si>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</si>
  <si>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</si>
  <si>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</si>
  <si>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</si>
  <si>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</si>
  <si>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</si>
  <si>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</si>
  <si>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</si>
  <si>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</si>
  <si>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</si>
  <si>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</si>
  <si>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</si>
  <si>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</si>
  <si>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</si>
  <si>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</si>
  <si>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</si>
  <si>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</si>
  <si>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</si>
  <si>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</si>
  <si>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</si>
  <si>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</si>
  <si>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</si>
  <si>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</si>
  <si>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</si>
  <si>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</si>
  <si>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</si>
  <si>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</si>
  <si>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Other comprehensive Income for the year, net of income tax</t>
  </si>
  <si>
    <t>Effects of exchange differences on cash and cash equivalents</t>
  </si>
  <si>
    <t>NA</t>
  </si>
  <si>
    <t>Yatra Online Limited</t>
  </si>
  <si>
    <t>FY24</t>
  </si>
  <si>
    <t>FY25</t>
  </si>
  <si>
    <t>d) MAT Credit</t>
  </si>
  <si>
    <t>c) Income Tax earlier years</t>
  </si>
  <si>
    <t>Current Ratio</t>
  </si>
  <si>
    <t>Debtor Turnover Ratio</t>
  </si>
  <si>
    <t>FY26</t>
  </si>
  <si>
    <t>Payment gateway charges</t>
  </si>
  <si>
    <t>h) Deferred Tax Assets (Net)</t>
  </si>
  <si>
    <t>i) Other Non Current Assets</t>
  </si>
  <si>
    <t>j) Investment Property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</si>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</sst>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3" xfId="0" applyFont="1" applyFill="1" applyBorder="1"/>
    <xf numFmtId="0" fontId="5" fillId="0" borderId="3" xfId="0" applyFont="1" applyBorder="1"/>
    <xf numFmtId="0" fontId="0" fillId="0" borderId="3" xfId="0" applyBorder="1" applyAlignment="1">
      <alignment horizontal="left"/>
    </xf>
    <xf numFmtId="0" fontId="0" fillId="0" borderId="5" xfId="0" applyBorder="1"/>
    <xf numFmtId="0" fontId="6" fillId="3" borderId="3" xfId="0" applyFont="1" applyFill="1" applyBorder="1"/>
    <xf numFmtId="0" fontId="0" fillId="0" borderId="3" xfId="0" applyBorder="1"/>
    <xf numFmtId="0" fontId="0" fillId="0" borderId="6" xfId="0" applyBorder="1"/>
    <xf numFmtId="0" fontId="3" fillId="2" borderId="3" xfId="0" applyFont="1" applyFill="1" applyBorder="1"/>
    <xf numFmtId="0" fontId="3" fillId="4" borderId="3" xfId="0" applyFont="1" applyFill="1" applyBorder="1"/>
    <xf numFmtId="0" fontId="2" fillId="0" borderId="3" xfId="0" applyFont="1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indent="1"/>
    </xf>
    <xf numFmtId="0" fontId="7" fillId="4" borderId="3" xfId="0" applyFont="1" applyFill="1" applyBorder="1"/>
    <xf numFmtId="0" fontId="0" fillId="3" borderId="3" xfId="0" applyFill="1" applyBorder="1"/>
    <xf numFmtId="0" fontId="3" fillId="2" borderId="7" xfId="0" applyFont="1" applyFill="1" applyBorder="1"/>
    <xf numFmtId="166" fontId="3" fillId="2" borderId="8" xfId="1" applyNumberFormat="1" applyFont="1" applyFill="1" applyBorder="1"/>
    <xf numFmtId="0" fontId="0" fillId="2" borderId="3" xfId="0" applyFill="1" applyBorder="1"/>
    <xf numFmtId="0" fontId="0" fillId="2" borderId="7" xfId="0" applyFill="1" applyBorder="1"/>
    <xf numFmtId="43" fontId="0" fillId="2" borderId="8" xfId="1" applyFont="1" applyFill="1" applyBorder="1"/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0" xfId="0" applyFont="1" applyFill="1" applyBorder="1"/>
    <xf numFmtId="0" fontId="12" fillId="6" borderId="11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0" fontId="6" fillId="3" borderId="7" xfId="0" applyFont="1" applyFill="1" applyBorder="1"/>
    <xf numFmtId="0" fontId="0" fillId="0" borderId="8" xfId="0" applyBorder="1"/>
    <xf numFmtId="10" fontId="0" fillId="0" borderId="8" xfId="0" applyNumberFormat="1" applyBorder="1"/>
    <xf numFmtId="0" fontId="11" fillId="6" borderId="11" xfId="0" applyFont="1" applyFill="1" applyBorder="1" applyAlignment="1">
      <alignment horizontal="center"/>
    </xf>
    <xf numFmtId="9" fontId="11" fillId="6" borderId="11" xfId="2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/>
    </xf>
    <xf numFmtId="168" fontId="3" fillId="2" borderId="8" xfId="1" applyNumberFormat="1" applyFont="1" applyFill="1" applyBorder="1"/>
    <xf numFmtId="0" fontId="2" fillId="2" borderId="7" xfId="0" applyFont="1" applyFill="1" applyBorder="1"/>
    <xf numFmtId="168" fontId="0" fillId="2" borderId="8" xfId="1" applyNumberFormat="1" applyFont="1" applyFill="1" applyBorder="1"/>
    <xf numFmtId="0" fontId="12" fillId="6" borderId="13" xfId="0" applyFont="1" applyFill="1" applyBorder="1" applyAlignment="1">
      <alignment horizontal="center"/>
    </xf>
    <xf numFmtId="10" fontId="0" fillId="0" borderId="14" xfId="0" applyNumberFormat="1" applyBorder="1"/>
    <xf numFmtId="43" fontId="0" fillId="2" borderId="14" xfId="1" applyFont="1" applyFill="1" applyBorder="1"/>
    <xf numFmtId="0" fontId="11" fillId="6" borderId="13" xfId="0" applyFont="1" applyFill="1" applyBorder="1" applyAlignment="1">
      <alignment horizontal="center"/>
    </xf>
    <xf numFmtId="168" fontId="8" fillId="0" borderId="14" xfId="1" applyNumberFormat="1" applyFont="1" applyFill="1" applyBorder="1"/>
    <xf numFmtId="168" fontId="0" fillId="0" borderId="14" xfId="1" applyNumberFormat="1" applyFont="1" applyFill="1" applyBorder="1"/>
    <xf numFmtId="168" fontId="3" fillId="2" borderId="15" xfId="1" applyNumberFormat="1" applyFont="1" applyFill="1" applyBorder="1"/>
    <xf numFmtId="166" fontId="0" fillId="0" borderId="14" xfId="1" applyNumberFormat="1" applyFont="1" applyFill="1" applyBorder="1"/>
    <xf numFmtId="166" fontId="3" fillId="2" borderId="15" xfId="1" applyNumberFormat="1" applyFont="1" applyFill="1" applyBorder="1"/>
    <xf numFmtId="4" fontId="0" fillId="0" borderId="14" xfId="0" applyNumberFormat="1" applyBorder="1"/>
    <xf numFmtId="43" fontId="0" fillId="0" borderId="14" xfId="1" applyFont="1" applyFill="1" applyBorder="1"/>
    <xf numFmtId="43" fontId="0" fillId="2" borderId="14" xfId="1" applyFont="1" applyFill="1" applyBorder="1" applyAlignment="1">
      <alignment horizontal="right"/>
    </xf>
    <xf numFmtId="43" fontId="8" fillId="2" borderId="14" xfId="1" applyFont="1" applyFill="1" applyBorder="1" applyAlignment="1">
      <alignment horizontal="right"/>
    </xf>
    <xf numFmtId="2" fontId="0" fillId="2" borderId="14" xfId="2" applyNumberFormat="1" applyFont="1" applyFill="1" applyBorder="1" applyAlignment="1">
      <alignment horizontal="right"/>
    </xf>
    <xf numFmtId="167" fontId="0" fillId="2" borderId="14" xfId="2" applyNumberFormat="1" applyFont="1" applyFill="1" applyBorder="1"/>
    <xf numFmtId="2" fontId="0" fillId="2" borderId="14" xfId="2" applyNumberFormat="1" applyFont="1" applyFill="1" applyBorder="1"/>
    <xf numFmtId="168" fontId="7" fillId="7" borderId="1" xfId="1" applyNumberFormat="1" applyFont="1" applyFill="1" applyBorder="1"/>
    <xf numFmtId="168" fontId="0" fillId="0" borderId="0" xfId="0" applyNumberFormat="1"/>
    <xf numFmtId="168" fontId="0" fillId="2" borderId="14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3" fontId="0" fillId="0" borderId="0" xfId="0" applyNumberFormat="1"/>
    <xf numFmtId="0" fontId="12" fillId="6" borderId="9" xfId="0" applyFont="1" applyFill="1" applyBorder="1" applyAlignment="1">
      <alignment horizontal="center"/>
    </xf>
    <xf numFmtId="168" fontId="0" fillId="0" borderId="4" xfId="1" applyNumberFormat="1" applyFont="1" applyFill="1" applyBorder="1"/>
    <xf numFmtId="168" fontId="8" fillId="0" borderId="4" xfId="1" applyNumberFormat="1" applyFont="1" applyFill="1" applyBorder="1"/>
    <xf numFmtId="0" fontId="11" fillId="6" borderId="17" xfId="0" applyFont="1" applyFill="1" applyBorder="1"/>
    <xf numFmtId="165" fontId="12" fillId="6" borderId="18" xfId="0" applyNumberFormat="1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10" fontId="0" fillId="0" borderId="14" xfId="0" applyNumberFormat="1" applyBorder="1" applyAlignment="1">
      <alignment horizontal="right"/>
    </xf>
    <xf numFmtId="167" fontId="9" fillId="0" borderId="14" xfId="2" applyNumberFormat="1" applyFont="1" applyFill="1" applyBorder="1"/>
    <xf numFmtId="168" fontId="0" fillId="0" borderId="14" xfId="1" applyNumberFormat="1" applyFont="1" applyBorder="1"/>
    <xf numFmtId="168" fontId="0" fillId="0" borderId="19" xfId="1" applyNumberFormat="1" applyFont="1" applyBorder="1"/>
    <xf numFmtId="0" fontId="0" fillId="0" borderId="14" xfId="0" applyBorder="1"/>
    <xf numFmtId="164" fontId="0" fillId="2" borderId="14" xfId="0" applyNumberFormat="1" applyFill="1" applyBorder="1"/>
    <xf numFmtId="164" fontId="0" fillId="0" borderId="14" xfId="0" applyNumberFormat="1" applyBorder="1"/>
    <xf numFmtId="2" fontId="0" fillId="0" borderId="14" xfId="0" applyNumberFormat="1" applyBorder="1"/>
    <xf numFmtId="168" fontId="7" fillId="7" borderId="14" xfId="1" applyNumberFormat="1" applyFont="1" applyFill="1" applyBorder="1"/>
    <xf numFmtId="43" fontId="0" fillId="2" borderId="15" xfId="1" applyFont="1" applyFill="1" applyBorder="1"/>
    <xf numFmtId="168" fontId="0" fillId="0" borderId="1" xfId="1" applyNumberFormat="1" applyFont="1" applyBorder="1" applyAlignment="1">
      <alignment horizontal="center"/>
    </xf>
    <xf numFmtId="168" fontId="0" fillId="0" borderId="1" xfId="1" applyNumberFormat="1" applyFont="1" applyFill="1" applyBorder="1" applyAlignment="1">
      <alignment horizontal="center"/>
    </xf>
    <xf numFmtId="168" fontId="0" fillId="2" borderId="14" xfId="1" applyNumberFormat="1" applyFont="1" applyFill="1" applyBorder="1" applyAlignment="1">
      <alignment horizontal="right"/>
    </xf>
    <xf numFmtId="168" fontId="0" fillId="0" borderId="14" xfId="1" applyNumberFormat="1" applyFont="1" applyBorder="1" applyAlignment="1">
      <alignment horizontal="right"/>
    </xf>
    <xf numFmtId="168" fontId="0" fillId="0" borderId="19" xfId="1" applyNumberFormat="1" applyFont="1" applyBorder="1" applyAlignment="1">
      <alignment horizontal="right"/>
    </xf>
    <xf numFmtId="0" fontId="0" fillId="0" borderId="14" xfId="0" applyBorder="1" applyAlignment="1">
      <alignment horizontal="right"/>
    </xf>
    <xf numFmtId="164" fontId="0" fillId="0" borderId="14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43" fontId="0" fillId="0" borderId="4" xfId="1" applyFont="1" applyFill="1" applyBorder="1" applyAlignment="1">
      <alignment horizontal="right"/>
    </xf>
    <xf numFmtId="43" fontId="0" fillId="2" borderId="4" xfId="1" applyFont="1" applyFill="1" applyBorder="1" applyAlignment="1">
      <alignment horizontal="right"/>
    </xf>
    <xf numFmtId="168" fontId="0" fillId="0" borderId="14" xfId="1" applyNumberFormat="1" applyFont="1" applyBorder="1" applyAlignment="1">
      <alignment horizontal="center"/>
    </xf>
    <xf numFmtId="43" fontId="0" fillId="0" borderId="14" xfId="1" applyFont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9" fillId="0" borderId="1" xfId="2" applyNumberFormat="1" applyFont="1" applyFill="1" applyBorder="1" applyAlignment="1">
      <alignment horizontal="right"/>
    </xf>
    <xf numFmtId="43" fontId="0" fillId="0" borderId="1" xfId="1" applyFont="1" applyBorder="1" applyAlignment="1"/>
    <xf numFmtId="2" fontId="0" fillId="2" borderId="1" xfId="0" applyNumberFormat="1" applyFill="1" applyBorder="1"/>
    <xf numFmtId="2" fontId="0" fillId="0" borderId="1" xfId="0" applyNumberFormat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8" fontId="0" fillId="0" borderId="21" xfId="1" applyNumberFormat="1" applyFont="1" applyFill="1" applyBorder="1"/>
    <xf numFmtId="168" fontId="0" fillId="0" borderId="21" xfId="1" applyNumberFormat="1" applyFont="1" applyFill="1" applyBorder="1" applyAlignment="1">
      <alignment horizontal="center"/>
    </xf>
    <xf numFmtId="168" fontId="0" fillId="2" borderId="21" xfId="1" applyNumberFormat="1" applyFont="1" applyFill="1" applyBorder="1"/>
    <xf numFmtId="168" fontId="0" fillId="0" borderId="21" xfId="1" applyNumberFormat="1" applyFont="1" applyFill="1" applyBorder="1" applyAlignment="1">
      <alignment horizontal="center" vertical="center"/>
    </xf>
    <xf numFmtId="168" fontId="0" fillId="0" borderId="21" xfId="1" applyNumberFormat="1" applyFont="1" applyBorder="1"/>
    <xf numFmtId="168" fontId="0" fillId="0" borderId="21" xfId="1" applyNumberFormat="1" applyFont="1" applyFill="1" applyBorder="1" applyAlignment="1">
      <alignment horizontal="right"/>
    </xf>
    <xf numFmtId="168" fontId="8" fillId="0" borderId="21" xfId="1" applyNumberFormat="1" applyFont="1" applyFill="1" applyBorder="1"/>
    <xf numFmtId="168" fontId="0" fillId="2" borderId="22" xfId="1" applyNumberFormat="1" applyFont="1" applyFill="1" applyBorder="1"/>
    <xf numFmtId="0" fontId="12" fillId="6" borderId="0" xfId="0" applyFont="1" applyFill="1" applyBorder="1" applyAlignment="1">
      <alignment horizontal="center"/>
    </xf>
    <xf numFmtId="168" fontId="0" fillId="0" borderId="14" xfId="1" applyNumberFormat="1" applyFont="1" applyFill="1" applyBorder="1" applyAlignment="1">
      <alignment horizontal="center"/>
    </xf>
    <xf numFmtId="168" fontId="0" fillId="0" borderId="14" xfId="1" applyNumberFormat="1" applyFont="1" applyFill="1" applyBorder="1" applyAlignment="1">
      <alignment horizontal="center" vertical="center"/>
    </xf>
    <xf numFmtId="168" fontId="0" fillId="0" borderId="14" xfId="1" applyNumberFormat="1" applyFont="1" applyFill="1" applyBorder="1" applyAlignment="1">
      <alignment horizontal="right"/>
    </xf>
    <xf numFmtId="168" fontId="0" fillId="2" borderId="15" xfId="1" applyNumberFormat="1" applyFont="1" applyFill="1" applyBorder="1"/>
    <xf numFmtId="168" fontId="0" fillId="0" borderId="23" xfId="1" applyNumberFormat="1" applyFont="1" applyFill="1" applyBorder="1"/>
    <xf numFmtId="0" fontId="11" fillId="6" borderId="12" xfId="0" applyFont="1" applyFill="1" applyBorder="1" applyAlignment="1">
      <alignment horizontal="center"/>
    </xf>
    <xf numFmtId="168" fontId="7" fillId="7" borderId="4" xfId="1" applyNumberFormat="1" applyFont="1" applyFill="1" applyBorder="1"/>
    <xf numFmtId="168" fontId="3" fillId="2" borderId="16" xfId="1" applyNumberFormat="1" applyFont="1" applyFill="1" applyBorder="1"/>
    <xf numFmtId="4" fontId="0" fillId="0" borderId="4" xfId="0" applyNumberFormat="1" applyBorder="1"/>
    <xf numFmtId="166" fontId="0" fillId="0" borderId="4" xfId="1" applyNumberFormat="1" applyFont="1" applyFill="1" applyBorder="1"/>
    <xf numFmtId="166" fontId="3" fillId="2" borderId="16" xfId="1" applyNumberFormat="1" applyFont="1" applyFill="1" applyBorder="1"/>
    <xf numFmtId="2" fontId="0" fillId="2" borderId="1" xfId="2" applyNumberFormat="1" applyFont="1" applyFill="1" applyBorder="1" applyAlignment="1">
      <alignment horizontal="right"/>
    </xf>
    <xf numFmtId="43" fontId="0" fillId="2" borderId="1" xfId="1" applyFont="1" applyFill="1" applyBorder="1" applyAlignment="1">
      <alignment horizontal="center"/>
    </xf>
    <xf numFmtId="43" fontId="0" fillId="0" borderId="0" xfId="1" applyFont="1" applyFill="1" applyBorder="1"/>
    <xf numFmtId="43" fontId="0" fillId="0" borderId="24" xfId="1" applyFont="1" applyFill="1" applyBorder="1"/>
    <xf numFmtId="43" fontId="0" fillId="2" borderId="4" xfId="1" applyFont="1" applyFill="1" applyBorder="1"/>
    <xf numFmtId="43" fontId="0" fillId="2" borderId="16" xfId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98"/>
  <sheetViews>
    <sheetView tabSelected="1" topLeftCell="C1" zoomScale="82" zoomScaleNormal="55" workbookViewId="0">
      <selection activeCell="L101" sqref="L101"/>
    </sheetView>
  </sheetViews>
  <sheetFormatPr defaultRowHeight="14.4" x14ac:dyDescent="0.3"/>
  <cols>
    <col min="2" max="2" width="50.6640625" customWidth="1"/>
    <col min="3" max="11" width="10.33203125" customWidth="1"/>
    <col min="12" max="12" width="4.109375" customWidth="1"/>
    <col min="13" max="13" width="50.6640625" bestFit="1" customWidth="1"/>
    <col min="14" max="14" width="10.77734375" bestFit="1" customWidth="1"/>
    <col min="15" max="15" width="11.21875" bestFit="1" customWidth="1"/>
    <col min="16" max="16" width="10.77734375" bestFit="1" customWidth="1"/>
    <col min="17" max="17" width="11.21875" bestFit="1" customWidth="1"/>
    <col min="18" max="18" width="10.77734375" bestFit="1" customWidth="1"/>
    <col min="19" max="19" width="11.21875" bestFit="1" customWidth="1"/>
    <col min="20" max="20" width="10.77734375" bestFit="1" customWidth="1"/>
    <col min="21" max="21" width="11.21875" bestFit="1" customWidth="1"/>
    <col min="22" max="22" width="10.5546875" customWidth="1"/>
    <col min="23" max="23" width="11" bestFit="1" customWidth="1"/>
    <col min="24" max="24" width="15.33203125" bestFit="1" customWidth="1"/>
    <col min="26" max="26" width="15.33203125" bestFit="1" customWidth="1"/>
  </cols>
  <sheetData>
    <row r="1" spans="2:23" ht="21.6" thickBot="1" x14ac:dyDescent="0.45">
      <c r="B1" s="119" t="s">
        <v>148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</row>
    <row r="2" spans="2:23" ht="21.6" thickBot="1" x14ac:dyDescent="0.45">
      <c r="B2" s="121" t="s">
        <v>47</v>
      </c>
      <c r="C2" s="122"/>
      <c r="D2" s="122"/>
      <c r="E2" s="122"/>
      <c r="F2" s="122"/>
      <c r="G2" s="122"/>
      <c r="H2" s="122"/>
      <c r="I2" s="122"/>
      <c r="J2" s="122"/>
      <c r="K2" s="122"/>
      <c r="L2" s="117"/>
      <c r="M2" s="121" t="s">
        <v>46</v>
      </c>
      <c r="N2" s="123"/>
      <c r="O2" s="123"/>
      <c r="P2" s="123"/>
      <c r="Q2" s="123"/>
      <c r="R2" s="123"/>
      <c r="S2" s="123"/>
      <c r="T2" s="123"/>
      <c r="U2" s="123"/>
    </row>
    <row r="3" spans="2:23" ht="15.6" x14ac:dyDescent="0.3">
      <c r="B3" s="40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41" t="s">
        <v>5</v>
      </c>
      <c r="H3" s="61" t="s">
        <v>149</v>
      </c>
      <c r="I3" s="61" t="s">
        <v>150</v>
      </c>
      <c r="J3" s="61" t="s">
        <v>155</v>
      </c>
      <c r="K3" s="61" t="s">
        <v>160</v>
      </c>
      <c r="L3" s="118"/>
      <c r="M3" s="87" t="s">
        <v>0</v>
      </c>
      <c r="N3" s="88" t="s">
        <v>1</v>
      </c>
      <c r="O3" s="89" t="s">
        <v>2</v>
      </c>
      <c r="P3" s="89" t="s">
        <v>3</v>
      </c>
      <c r="Q3" s="89" t="s">
        <v>4</v>
      </c>
      <c r="R3" s="89" t="s">
        <v>5</v>
      </c>
      <c r="S3" s="89" t="s">
        <v>149</v>
      </c>
      <c r="T3" s="132" t="s">
        <v>150</v>
      </c>
      <c r="U3" s="84" t="s">
        <v>155</v>
      </c>
    </row>
    <row r="4" spans="2:23" x14ac:dyDescent="0.3">
      <c r="B4" s="19" t="s">
        <v>49</v>
      </c>
      <c r="C4" s="43">
        <v>8447.2199999999993</v>
      </c>
      <c r="D4" s="43">
        <v>6733.33</v>
      </c>
      <c r="E4" s="43">
        <v>1254.5</v>
      </c>
      <c r="F4" s="43">
        <v>1980.66</v>
      </c>
      <c r="G4" s="43">
        <v>3801.59</v>
      </c>
      <c r="H4" s="43">
        <v>4223.2299999999996</v>
      </c>
      <c r="I4" s="79">
        <v>7914.42</v>
      </c>
      <c r="J4" s="102">
        <v>10065.1</v>
      </c>
      <c r="K4" s="17">
        <v>1878.95</v>
      </c>
      <c r="L4" s="118"/>
      <c r="M4" s="24" t="s">
        <v>6</v>
      </c>
      <c r="N4" s="18">
        <v>102.29</v>
      </c>
      <c r="O4" s="18">
        <v>106.23</v>
      </c>
      <c r="P4" s="18">
        <v>110.9</v>
      </c>
      <c r="Q4" s="18">
        <v>111.89</v>
      </c>
      <c r="R4" s="48">
        <v>114.52</v>
      </c>
      <c r="S4" s="18">
        <v>156.91999999999999</v>
      </c>
      <c r="T4" s="66">
        <v>156.91999999999999</v>
      </c>
      <c r="U4" s="124">
        <v>156.91999999999999</v>
      </c>
    </row>
    <row r="5" spans="2:23" x14ac:dyDescent="0.3">
      <c r="B5" s="20" t="s">
        <v>50</v>
      </c>
      <c r="C5" s="1"/>
      <c r="D5" s="9">
        <f t="shared" ref="D5:H5" si="0">IF(D4/C4-1&gt;100%,"N.A.",IF(D4/C4-1&lt;-100%,"N.A.",(D4/C4-1)))</f>
        <v>-0.20289396985043595</v>
      </c>
      <c r="E5" s="9">
        <f t="shared" si="0"/>
        <v>-0.81368802657823092</v>
      </c>
      <c r="F5" s="9">
        <f t="shared" si="0"/>
        <v>0.57884416102032699</v>
      </c>
      <c r="G5" s="9">
        <f t="shared" si="0"/>
        <v>0.9193551644401361</v>
      </c>
      <c r="H5" s="9">
        <f t="shared" si="0"/>
        <v>0.11091148703568754</v>
      </c>
      <c r="I5" s="90">
        <f>IF(I4/H4-1&gt;100%,"N.A.",IF(I4/H4-1&lt;-100%,"N.A.",(I4/H4-1)))</f>
        <v>0.87402059561046896</v>
      </c>
      <c r="J5" s="90">
        <f>IF(J4/I4-1&gt;100%,"N.A.",IF(J4/I4-1&lt;-100%,"N.A.",(J4/I4-1)))</f>
        <v>0.27174195961295977</v>
      </c>
      <c r="K5" s="112" t="s">
        <v>123</v>
      </c>
      <c r="L5" s="118"/>
      <c r="M5" s="28" t="s">
        <v>10</v>
      </c>
      <c r="N5" s="18"/>
      <c r="O5" s="18"/>
      <c r="P5" s="18"/>
      <c r="Q5" s="18"/>
      <c r="R5" s="48"/>
      <c r="S5" s="18"/>
      <c r="T5" s="66"/>
      <c r="U5" s="124"/>
    </row>
    <row r="6" spans="2:23" x14ac:dyDescent="0.3">
      <c r="B6" s="20" t="s">
        <v>51</v>
      </c>
      <c r="C6" s="1"/>
      <c r="D6" s="6"/>
      <c r="E6" s="6"/>
      <c r="F6" s="38">
        <f t="shared" ref="F6" si="1">(F4/C4)^(1/3)-1</f>
        <v>-0.38335950450712453</v>
      </c>
      <c r="G6" s="38">
        <f>(G4/D4)^(1/3)-1</f>
        <v>-0.17349568435147245</v>
      </c>
      <c r="H6" s="38">
        <f>(H4/E4)^(1/3)-1</f>
        <v>0.49873444766037611</v>
      </c>
      <c r="I6" s="91">
        <f>(I4/F4)^(1/3)-1</f>
        <v>0.58685186836366965</v>
      </c>
      <c r="J6" s="91">
        <f>(J4/G4)^(1/3)-1</f>
        <v>0.38341009085052913</v>
      </c>
      <c r="K6" s="113" t="s">
        <v>123</v>
      </c>
      <c r="L6" s="118"/>
      <c r="M6" s="24" t="s">
        <v>120</v>
      </c>
      <c r="N6" s="18">
        <v>14657.88</v>
      </c>
      <c r="O6" s="18">
        <v>15382.08</v>
      </c>
      <c r="P6" s="18">
        <v>15674.58</v>
      </c>
      <c r="Q6" s="18">
        <v>15756.24</v>
      </c>
      <c r="R6" s="48">
        <v>16373.72</v>
      </c>
      <c r="S6" s="18">
        <v>22162.09</v>
      </c>
      <c r="T6" s="66">
        <v>22162.09</v>
      </c>
      <c r="U6" s="124">
        <v>22162.09</v>
      </c>
      <c r="W6" s="78"/>
    </row>
    <row r="7" spans="2:23" x14ac:dyDescent="0.3">
      <c r="B7" s="21" t="s">
        <v>115</v>
      </c>
      <c r="C7" s="18">
        <v>3450.1</v>
      </c>
      <c r="D7" s="18">
        <v>2432.3000000000002</v>
      </c>
      <c r="E7" s="18">
        <v>20.02</v>
      </c>
      <c r="F7" s="18">
        <v>152.13999999999999</v>
      </c>
      <c r="G7" s="18">
        <v>644.63</v>
      </c>
      <c r="H7" s="18">
        <v>863.98</v>
      </c>
      <c r="I7" s="92">
        <v>4039.05</v>
      </c>
      <c r="J7" s="103">
        <v>5241.17</v>
      </c>
      <c r="K7" s="7">
        <v>651.64</v>
      </c>
      <c r="L7" s="118"/>
      <c r="M7" s="24" t="s">
        <v>121</v>
      </c>
      <c r="N7" s="18">
        <v>-13318.48</v>
      </c>
      <c r="O7" s="18">
        <v>-13987.89</v>
      </c>
      <c r="P7" s="18">
        <v>-15174.52</v>
      </c>
      <c r="Q7" s="18">
        <v>-15482.75</v>
      </c>
      <c r="R7" s="48">
        <v>-15416.88</v>
      </c>
      <c r="S7" s="18">
        <v>-15467.84</v>
      </c>
      <c r="T7" s="66">
        <v>-15105.32</v>
      </c>
      <c r="U7" s="124">
        <v>-14640.85</v>
      </c>
    </row>
    <row r="8" spans="2:23" x14ac:dyDescent="0.3">
      <c r="B8" s="21" t="s">
        <v>52</v>
      </c>
      <c r="C8" s="18">
        <v>2473.7399999999998</v>
      </c>
      <c r="D8" s="18">
        <v>1657.7</v>
      </c>
      <c r="E8" s="18">
        <v>736.33</v>
      </c>
      <c r="F8" s="18">
        <v>976.06</v>
      </c>
      <c r="G8" s="18">
        <v>1090.08</v>
      </c>
      <c r="H8" s="18">
        <v>1285.99</v>
      </c>
      <c r="I8" s="92">
        <v>1481.98</v>
      </c>
      <c r="J8" s="103">
        <v>1669.75</v>
      </c>
      <c r="K8" s="7">
        <v>455.6</v>
      </c>
      <c r="L8" s="118"/>
      <c r="M8" s="24" t="s">
        <v>141</v>
      </c>
      <c r="N8" s="18">
        <v>274.89999999999998</v>
      </c>
      <c r="O8" s="100" t="s">
        <v>123</v>
      </c>
      <c r="P8" s="100" t="s">
        <v>123</v>
      </c>
      <c r="Q8" s="100" t="s">
        <v>123</v>
      </c>
      <c r="R8" s="101" t="s">
        <v>123</v>
      </c>
      <c r="S8" s="100">
        <v>0</v>
      </c>
      <c r="T8" s="133">
        <v>0</v>
      </c>
      <c r="U8" s="125">
        <v>0</v>
      </c>
    </row>
    <row r="9" spans="2:23" x14ac:dyDescent="0.3">
      <c r="B9" s="21" t="s">
        <v>116</v>
      </c>
      <c r="C9" s="18">
        <v>804.22</v>
      </c>
      <c r="D9" s="18">
        <v>192.9</v>
      </c>
      <c r="E9" s="80">
        <v>79.599999999999994</v>
      </c>
      <c r="F9" s="80">
        <v>124.14</v>
      </c>
      <c r="G9" s="80">
        <v>336.39</v>
      </c>
      <c r="H9" s="80">
        <v>459.51</v>
      </c>
      <c r="I9" s="93">
        <v>430.1</v>
      </c>
      <c r="J9" s="104">
        <v>219.3</v>
      </c>
      <c r="K9" s="7">
        <v>44.8</v>
      </c>
      <c r="L9" s="118"/>
      <c r="M9" s="24" t="s">
        <v>122</v>
      </c>
      <c r="N9" s="18">
        <v>623.9</v>
      </c>
      <c r="O9" s="18">
        <v>623.9</v>
      </c>
      <c r="P9" s="18">
        <v>623.9</v>
      </c>
      <c r="Q9" s="18">
        <v>623.9</v>
      </c>
      <c r="R9" s="48">
        <v>623.88</v>
      </c>
      <c r="S9" s="18">
        <v>623.95000000000005</v>
      </c>
      <c r="T9" s="66">
        <v>623.95000000000005</v>
      </c>
      <c r="U9" s="124">
        <v>623.95000000000005</v>
      </c>
    </row>
    <row r="10" spans="2:23" x14ac:dyDescent="0.3">
      <c r="B10" s="21" t="s">
        <v>53</v>
      </c>
      <c r="C10" s="18">
        <v>3301.71</v>
      </c>
      <c r="D10" s="18">
        <v>1983.3</v>
      </c>
      <c r="E10" s="18">
        <v>642.79999999999995</v>
      </c>
      <c r="F10" s="18">
        <v>761.29</v>
      </c>
      <c r="G10" s="18">
        <v>1340.29</v>
      </c>
      <c r="H10" s="18">
        <f>511.95+900.43</f>
        <v>1412.3799999999999</v>
      </c>
      <c r="I10" s="92">
        <f>1104.15</f>
        <v>1104.1500000000001</v>
      </c>
      <c r="J10" s="103">
        <f>SUM(1640.2)</f>
        <v>1640.2</v>
      </c>
      <c r="K10" s="7">
        <v>472.88</v>
      </c>
      <c r="L10" s="118"/>
      <c r="M10" s="19" t="s">
        <v>11</v>
      </c>
      <c r="N10" s="43">
        <f t="shared" ref="N10:T10" si="2">SUM(N4:N9)</f>
        <v>2340.4900000000007</v>
      </c>
      <c r="O10" s="43">
        <f t="shared" si="2"/>
        <v>2124.3200000000002</v>
      </c>
      <c r="P10" s="43">
        <f t="shared" si="2"/>
        <v>1234.8599999999992</v>
      </c>
      <c r="Q10" s="43">
        <f t="shared" si="2"/>
        <v>1009.2799999999992</v>
      </c>
      <c r="R10" s="43">
        <f t="shared" si="2"/>
        <v>1695.2399999999989</v>
      </c>
      <c r="S10" s="43">
        <f t="shared" si="2"/>
        <v>7475.1199999999981</v>
      </c>
      <c r="T10" s="79">
        <f t="shared" si="2"/>
        <v>7837.6399999999985</v>
      </c>
      <c r="U10" s="126">
        <f>SUM(U4:U9)</f>
        <v>8302.1099999999988</v>
      </c>
    </row>
    <row r="11" spans="2:23" x14ac:dyDescent="0.3">
      <c r="B11" s="21" t="s">
        <v>117</v>
      </c>
      <c r="C11" s="18">
        <v>0</v>
      </c>
      <c r="D11" s="18">
        <v>0</v>
      </c>
      <c r="E11" s="18">
        <v>0</v>
      </c>
      <c r="F11" s="18">
        <v>55.82</v>
      </c>
      <c r="G11" s="18">
        <v>23.58</v>
      </c>
      <c r="H11" s="18">
        <v>54.24</v>
      </c>
      <c r="I11" s="92">
        <v>0</v>
      </c>
      <c r="J11" s="103"/>
      <c r="K11" s="7"/>
      <c r="L11" s="118"/>
      <c r="M11" s="24"/>
      <c r="N11" s="18"/>
      <c r="O11" s="18"/>
      <c r="P11" s="18"/>
      <c r="Q11" s="18"/>
      <c r="R11" s="48"/>
      <c r="S11" s="18"/>
      <c r="T11" s="66"/>
      <c r="U11" s="124"/>
    </row>
    <row r="12" spans="2:23" x14ac:dyDescent="0.3">
      <c r="B12" s="21" t="s">
        <v>156</v>
      </c>
      <c r="C12" s="18"/>
      <c r="D12" s="18"/>
      <c r="E12" s="18"/>
      <c r="F12" s="18"/>
      <c r="G12" s="18"/>
      <c r="H12" s="18"/>
      <c r="I12" s="92">
        <v>414.97</v>
      </c>
      <c r="J12" s="103">
        <v>491.1</v>
      </c>
      <c r="K12" s="7">
        <v>129.82</v>
      </c>
      <c r="L12" s="118"/>
      <c r="M12" s="19" t="s">
        <v>12</v>
      </c>
      <c r="N12" s="43">
        <f t="shared" ref="N12:Q12" si="3">N73-N69-N56</f>
        <v>2340.4829999999997</v>
      </c>
      <c r="O12" s="43">
        <f t="shared" si="3"/>
        <v>2124.3199999999997</v>
      </c>
      <c r="P12" s="43">
        <f t="shared" si="3"/>
        <v>1234.8599999999999</v>
      </c>
      <c r="Q12" s="43">
        <f t="shared" si="3"/>
        <v>1009.3240000000005</v>
      </c>
      <c r="R12" s="43">
        <f>R73-R69-R56</f>
        <v>1695.28</v>
      </c>
      <c r="S12" s="43">
        <f>S73-S69-S56</f>
        <v>7475.119999999999</v>
      </c>
      <c r="T12" s="79">
        <f>T73-T69-T56</f>
        <v>7837.6400000000021</v>
      </c>
      <c r="U12" s="126">
        <f>U73-U69-U56</f>
        <v>8302.1099999999988</v>
      </c>
    </row>
    <row r="13" spans="2:23" x14ac:dyDescent="0.3">
      <c r="B13" s="21" t="s">
        <v>118</v>
      </c>
      <c r="C13" s="92">
        <f t="shared" ref="C13:G13" si="4">SUM(C7:C12,C20:C21)</f>
        <v>10809.070000000002</v>
      </c>
      <c r="D13" s="92">
        <f t="shared" si="4"/>
        <v>7069.579999999999</v>
      </c>
      <c r="E13" s="92">
        <f t="shared" si="4"/>
        <v>2104.19</v>
      </c>
      <c r="F13" s="92">
        <f t="shared" si="4"/>
        <v>2449.7399999999998</v>
      </c>
      <c r="G13" s="92">
        <f t="shared" si="4"/>
        <v>3851.85</v>
      </c>
      <c r="H13" s="92">
        <f>SUM(H7:H12,H20:H21)</f>
        <v>4495.68</v>
      </c>
      <c r="I13" s="92">
        <f>SUM(I7:I12,I20:I21)</f>
        <v>7881.4600000000009</v>
      </c>
      <c r="J13" s="92">
        <f>SUM(J7:J12,J20:J21)</f>
        <v>9798.5300000000007</v>
      </c>
      <c r="K13" s="11">
        <f>SUM(K7:K12,K20:K21)</f>
        <v>1912.63</v>
      </c>
      <c r="L13" s="118"/>
      <c r="M13" s="24" t="s">
        <v>13</v>
      </c>
      <c r="N13" s="44" t="s">
        <v>123</v>
      </c>
      <c r="O13" s="44" t="s">
        <v>123</v>
      </c>
      <c r="P13" s="44" t="s">
        <v>123</v>
      </c>
      <c r="Q13" s="44" t="s">
        <v>123</v>
      </c>
      <c r="R13" s="49" t="s">
        <v>123</v>
      </c>
      <c r="S13" s="44" t="s">
        <v>123</v>
      </c>
      <c r="T13" s="134">
        <v>0</v>
      </c>
      <c r="U13" s="127"/>
    </row>
    <row r="14" spans="2:23" x14ac:dyDescent="0.3">
      <c r="B14" s="22"/>
      <c r="C14" s="1"/>
      <c r="D14" s="1"/>
      <c r="E14" s="1"/>
      <c r="F14" s="1"/>
      <c r="G14" s="1"/>
      <c r="H14" s="1"/>
      <c r="I14" s="94"/>
      <c r="J14" s="105"/>
      <c r="K14" s="112"/>
      <c r="L14" s="118"/>
      <c r="M14" s="24" t="s">
        <v>7</v>
      </c>
      <c r="N14" s="18">
        <v>23.6</v>
      </c>
      <c r="O14" s="18">
        <v>7.22</v>
      </c>
      <c r="P14" s="18">
        <v>3.15</v>
      </c>
      <c r="Q14" s="18">
        <v>4.2</v>
      </c>
      <c r="R14" s="48">
        <f>R48</f>
        <v>239.96</v>
      </c>
      <c r="S14" s="18">
        <f>S48</f>
        <v>114.68</v>
      </c>
      <c r="T14" s="66">
        <f>T48</f>
        <v>20.74</v>
      </c>
      <c r="U14" s="124">
        <v>12.09</v>
      </c>
    </row>
    <row r="15" spans="2:23" x14ac:dyDescent="0.3">
      <c r="B15" s="19" t="s">
        <v>54</v>
      </c>
      <c r="C15" s="43">
        <f t="shared" ref="C15:G15" si="5">C4-SUM(C7:C12)</f>
        <v>-1582.5500000000011</v>
      </c>
      <c r="D15" s="43">
        <f t="shared" si="5"/>
        <v>467.13000000000011</v>
      </c>
      <c r="E15" s="43">
        <f t="shared" si="5"/>
        <v>-224.25</v>
      </c>
      <c r="F15" s="43">
        <f t="shared" si="5"/>
        <v>-88.789999999999736</v>
      </c>
      <c r="G15" s="43">
        <f t="shared" si="5"/>
        <v>366.62000000000035</v>
      </c>
      <c r="H15" s="43">
        <f>H4-SUM(H7:H12)</f>
        <v>147.1299999999992</v>
      </c>
      <c r="I15" s="43">
        <f t="shared" ref="I15" si="6">I4-SUM(I7:I12)</f>
        <v>444.16999999999916</v>
      </c>
      <c r="J15" s="79">
        <f>J4-SUM(J7:J12)</f>
        <v>803.57999999999993</v>
      </c>
      <c r="K15" s="43">
        <f>K4-SUM(K7:K12)</f>
        <v>124.21000000000004</v>
      </c>
      <c r="L15" s="118"/>
      <c r="M15" s="24" t="s">
        <v>8</v>
      </c>
      <c r="N15" s="18">
        <v>974.12</v>
      </c>
      <c r="O15" s="18">
        <v>978.23</v>
      </c>
      <c r="P15" s="18">
        <v>127.96</v>
      </c>
      <c r="Q15" s="18">
        <v>354.38</v>
      </c>
      <c r="R15" s="48">
        <f>R59</f>
        <v>1290.78</v>
      </c>
      <c r="S15" s="18">
        <f>S59</f>
        <v>523.51</v>
      </c>
      <c r="T15" s="66">
        <f>T59</f>
        <v>525.12</v>
      </c>
      <c r="U15" s="124">
        <v>704.13</v>
      </c>
    </row>
    <row r="16" spans="2:23" x14ac:dyDescent="0.3">
      <c r="B16" s="23" t="s">
        <v>55</v>
      </c>
      <c r="C16" s="1"/>
      <c r="D16" s="6">
        <f t="shared" ref="D16:K16" si="7">IF(D15/D4&gt;100%,"N.A",IF(D15/D4&lt;-100%,"N.A.",(D15/D4)))</f>
        <v>6.9375776918701462E-2</v>
      </c>
      <c r="E16" s="6">
        <f t="shared" si="7"/>
        <v>-0.17875647668393782</v>
      </c>
      <c r="F16" s="6">
        <f t="shared" si="7"/>
        <v>-4.4828491512929898E-2</v>
      </c>
      <c r="G16" s="6">
        <f t="shared" si="7"/>
        <v>9.6438595429807095E-2</v>
      </c>
      <c r="H16" s="6">
        <f t="shared" si="7"/>
        <v>3.4838263603923822E-2</v>
      </c>
      <c r="I16" s="62">
        <f t="shared" si="7"/>
        <v>5.6121610932955181E-2</v>
      </c>
      <c r="J16" s="90">
        <f t="shared" si="7"/>
        <v>7.9838252973144813E-2</v>
      </c>
      <c r="K16" s="9">
        <f>IF(K15/K4&gt;100%,"N.A",IF(K15/K4&lt;-100%,"N.A.",(K15/K4)))</f>
        <v>6.6106069879453971E-2</v>
      </c>
      <c r="L16" s="118"/>
      <c r="M16" s="19" t="s">
        <v>14</v>
      </c>
      <c r="N16" s="43">
        <f t="shared" ref="N16:R16" si="8">SUM(N13:N15)</f>
        <v>997.72</v>
      </c>
      <c r="O16" s="43">
        <f t="shared" si="8"/>
        <v>985.45</v>
      </c>
      <c r="P16" s="43">
        <f t="shared" si="8"/>
        <v>131.10999999999999</v>
      </c>
      <c r="Q16" s="43">
        <f t="shared" si="8"/>
        <v>358.58</v>
      </c>
      <c r="R16" s="43">
        <f t="shared" si="8"/>
        <v>1530.74</v>
      </c>
      <c r="S16" s="43">
        <f>SUM(S13:S15)</f>
        <v>638.19000000000005</v>
      </c>
      <c r="T16" s="79">
        <f>SUM(T13:T15)</f>
        <v>545.86</v>
      </c>
      <c r="U16" s="126">
        <f>SUM(U13:U15)</f>
        <v>716.22</v>
      </c>
    </row>
    <row r="17" spans="2:23" x14ac:dyDescent="0.3">
      <c r="B17" s="23" t="s">
        <v>50</v>
      </c>
      <c r="C17" s="1"/>
      <c r="D17" s="9" t="s">
        <v>147</v>
      </c>
      <c r="E17" s="9" t="s">
        <v>147</v>
      </c>
      <c r="F17" s="6">
        <f>IF(F15/E15-1&gt;100%,("N.A."),IF(F15/E15-1&lt;-100%,("N.A."),(F15/E15-1)))*-1</f>
        <v>0.60405797101449399</v>
      </c>
      <c r="G17" s="9" t="str">
        <f>IF(G15/F15-1&gt;100%,("N.A."),IF(G15/F15-1&lt;-100%,("N.A."),(G15/F15-1)))</f>
        <v>N.A.</v>
      </c>
      <c r="H17" s="6">
        <f>IF(H15/G15-1&gt;100%,("N.A."),IF(H15/G15-1&lt;-100%,("N.A."),(H15/G15-1)))</f>
        <v>-0.59868528721837588</v>
      </c>
      <c r="I17" s="6" t="str">
        <f t="shared" ref="I17" si="9">IF(I15/H15-1&gt;100%,("N.A."),IF(I15/H15-1&lt;-100%,("N.A."),(I15/H15-1)))</f>
        <v>N.A.</v>
      </c>
      <c r="J17" s="62">
        <f>IF(J15/I15-1&gt;100%,("N.A."),IF(J15/I15-1&lt;-100%,("N.A."),(J15/I15-1)))</f>
        <v>0.80917216381115664</v>
      </c>
      <c r="K17" s="112" t="s">
        <v>123</v>
      </c>
      <c r="L17" s="118"/>
      <c r="M17" s="24"/>
      <c r="N17" s="18"/>
      <c r="O17" s="18"/>
      <c r="P17" s="18"/>
      <c r="Q17" s="18"/>
      <c r="R17" s="48"/>
      <c r="S17" s="18"/>
      <c r="T17" s="66"/>
      <c r="U17" s="124"/>
    </row>
    <row r="18" spans="2:23" x14ac:dyDescent="0.3">
      <c r="B18" s="23" t="s">
        <v>56</v>
      </c>
      <c r="C18" s="1"/>
      <c r="D18" s="6"/>
      <c r="E18" s="6"/>
      <c r="F18" s="6">
        <f t="shared" ref="F18:G18" si="10">IF((F15/C15)^(1/3)-1&gt;100%,"N.A.",IF((F15/C15)^(1/3)-1&lt;-100%,"N.A.",((F15/C15)^(1/3)-1)))</f>
        <v>-0.61717331278556786</v>
      </c>
      <c r="G18" s="6">
        <f t="shared" si="10"/>
        <v>-7.758547889558276E-2</v>
      </c>
      <c r="H18" s="6" t="str">
        <f>IF((H15/E15)^(1/3)-1&gt;100%,"N.A.",IF((H15/E15)^(1/3)-1&lt;-100%,"N.A.",((H15/E15)^(1/3)-1)))</f>
        <v>N.A.</v>
      </c>
      <c r="I18" s="91">
        <f>(I15/F15)^(1/3)-1</f>
        <v>-2.7102583602999375</v>
      </c>
      <c r="J18" s="91">
        <f>(J15/G15)^(1/3)-1</f>
        <v>0.2989855561834196</v>
      </c>
      <c r="K18" s="113" t="s">
        <v>123</v>
      </c>
      <c r="L18" s="118"/>
      <c r="M18" s="19" t="s">
        <v>9</v>
      </c>
      <c r="N18" s="43">
        <f t="shared" ref="N18:S18" si="11">N12+N16</f>
        <v>3338.2029999999995</v>
      </c>
      <c r="O18" s="43">
        <f t="shared" si="11"/>
        <v>3109.7699999999995</v>
      </c>
      <c r="P18" s="43">
        <f t="shared" si="11"/>
        <v>1365.9699999999998</v>
      </c>
      <c r="Q18" s="43">
        <f t="shared" si="11"/>
        <v>1367.9040000000005</v>
      </c>
      <c r="R18" s="43">
        <f t="shared" si="11"/>
        <v>3226.02</v>
      </c>
      <c r="S18" s="43">
        <f t="shared" si="11"/>
        <v>8113.3099999999995</v>
      </c>
      <c r="T18" s="79">
        <f>T12+T16</f>
        <v>8383.5000000000018</v>
      </c>
      <c r="U18" s="126">
        <f>U12+U16</f>
        <v>9018.3299999999981</v>
      </c>
      <c r="W18" s="83"/>
    </row>
    <row r="19" spans="2:23" x14ac:dyDescent="0.3">
      <c r="B19" s="24" t="s">
        <v>57</v>
      </c>
      <c r="C19" s="18">
        <v>302.97000000000003</v>
      </c>
      <c r="D19" s="18">
        <v>209.23</v>
      </c>
      <c r="E19" s="18">
        <v>181.66</v>
      </c>
      <c r="F19" s="18">
        <v>207.44</v>
      </c>
      <c r="G19" s="18">
        <v>173.08</v>
      </c>
      <c r="H19" s="18">
        <v>259.48</v>
      </c>
      <c r="I19" s="92">
        <v>318.31</v>
      </c>
      <c r="J19" s="103">
        <v>257.74</v>
      </c>
      <c r="K19" s="7">
        <v>41.46</v>
      </c>
      <c r="L19" s="118"/>
      <c r="M19" s="24"/>
      <c r="N19" s="18"/>
      <c r="O19" s="18"/>
      <c r="P19" s="18"/>
      <c r="Q19" s="18"/>
      <c r="R19" s="18"/>
      <c r="S19" s="18"/>
      <c r="T19" s="92"/>
      <c r="U19" s="128"/>
    </row>
    <row r="20" spans="2:23" x14ac:dyDescent="0.3">
      <c r="B20" s="24" t="s">
        <v>58</v>
      </c>
      <c r="C20" s="18">
        <v>616.85</v>
      </c>
      <c r="D20" s="18">
        <v>622.65</v>
      </c>
      <c r="E20" s="18">
        <v>523.03</v>
      </c>
      <c r="F20" s="18">
        <v>280.83</v>
      </c>
      <c r="G20" s="18">
        <v>182.79</v>
      </c>
      <c r="H20" s="18">
        <v>196.83</v>
      </c>
      <c r="I20" s="92">
        <v>308.89999999999998</v>
      </c>
      <c r="J20" s="103">
        <v>411.5</v>
      </c>
      <c r="K20" s="7">
        <v>111.65</v>
      </c>
      <c r="L20" s="118"/>
      <c r="M20" s="19" t="s">
        <v>15</v>
      </c>
      <c r="N20" s="45"/>
      <c r="O20" s="43"/>
      <c r="P20" s="43"/>
      <c r="Q20" s="43"/>
      <c r="R20" s="43"/>
      <c r="S20" s="43"/>
      <c r="T20" s="79"/>
      <c r="U20" s="126"/>
    </row>
    <row r="21" spans="2:23" x14ac:dyDescent="0.3">
      <c r="B21" s="24" t="s">
        <v>59</v>
      </c>
      <c r="C21" s="18">
        <v>162.44999999999999</v>
      </c>
      <c r="D21" s="18">
        <v>180.73</v>
      </c>
      <c r="E21" s="18">
        <v>102.41</v>
      </c>
      <c r="F21" s="18">
        <v>99.46</v>
      </c>
      <c r="G21" s="18">
        <v>234.09</v>
      </c>
      <c r="H21" s="18">
        <v>222.75</v>
      </c>
      <c r="I21" s="92">
        <v>102.31</v>
      </c>
      <c r="J21" s="103">
        <v>125.51</v>
      </c>
      <c r="K21" s="7">
        <v>46.24</v>
      </c>
      <c r="L21" s="118"/>
      <c r="M21" s="28" t="s">
        <v>21</v>
      </c>
      <c r="N21" s="46"/>
      <c r="O21" s="18"/>
      <c r="P21" s="18"/>
      <c r="Q21" s="18"/>
      <c r="R21" s="18"/>
      <c r="S21" s="18"/>
      <c r="T21" s="92"/>
      <c r="U21" s="128"/>
    </row>
    <row r="22" spans="2:23" x14ac:dyDescent="0.3">
      <c r="B22" s="19" t="s">
        <v>143</v>
      </c>
      <c r="C22" s="43">
        <f>C15+C19-SUM(C20:C21)</f>
        <v>-2058.880000000001</v>
      </c>
      <c r="D22" s="43">
        <f t="shared" ref="D22" si="12">D15+D19-SUM(D20:D21)</f>
        <v>-127.01999999999987</v>
      </c>
      <c r="E22" s="43">
        <f t="shared" ref="E22:H22" si="13">E15+E19-SUM(E20:E21)</f>
        <v>-668.03</v>
      </c>
      <c r="F22" s="43">
        <f t="shared" si="13"/>
        <v>-261.6399999999997</v>
      </c>
      <c r="G22" s="43">
        <f t="shared" si="13"/>
        <v>122.82000000000039</v>
      </c>
      <c r="H22" s="43">
        <f t="shared" si="13"/>
        <v>-12.970000000000823</v>
      </c>
      <c r="I22" s="79">
        <f>I15+I19-SUM(I20:I21)</f>
        <v>351.26999999999913</v>
      </c>
      <c r="J22" s="79">
        <f>J15+J19-SUM(J20:J21)</f>
        <v>524.30999999999995</v>
      </c>
      <c r="K22" s="8">
        <f>K15+K19-SUM(K20:K21)</f>
        <v>7.7800000000000296</v>
      </c>
      <c r="L22" s="118"/>
      <c r="M22" s="24" t="s">
        <v>16</v>
      </c>
      <c r="N22" s="18">
        <v>148.19</v>
      </c>
      <c r="O22" s="18">
        <v>62.26</v>
      </c>
      <c r="P22" s="18">
        <v>24.29</v>
      </c>
      <c r="Q22" s="18">
        <v>21.91</v>
      </c>
      <c r="R22" s="48">
        <v>45.77</v>
      </c>
      <c r="S22" s="18">
        <v>73.84</v>
      </c>
      <c r="T22" s="66">
        <v>136.82</v>
      </c>
      <c r="U22" s="124">
        <v>100.6</v>
      </c>
    </row>
    <row r="23" spans="2:23" x14ac:dyDescent="0.3">
      <c r="B23" s="25" t="s">
        <v>142</v>
      </c>
      <c r="C23" s="18">
        <v>12.8</v>
      </c>
      <c r="D23" s="18">
        <v>10.8</v>
      </c>
      <c r="E23" s="18">
        <v>4</v>
      </c>
      <c r="F23" s="18">
        <v>-41.63</v>
      </c>
      <c r="G23" s="18">
        <v>0</v>
      </c>
      <c r="H23" s="18">
        <v>0</v>
      </c>
      <c r="I23" s="92">
        <v>0</v>
      </c>
      <c r="J23" s="103">
        <v>0</v>
      </c>
      <c r="K23" s="7" t="s">
        <v>123</v>
      </c>
      <c r="L23" s="118"/>
      <c r="M23" s="24" t="s">
        <v>17</v>
      </c>
      <c r="N23" s="44">
        <v>165.82</v>
      </c>
      <c r="O23" s="18">
        <v>519.34</v>
      </c>
      <c r="P23" s="18">
        <v>432.59</v>
      </c>
      <c r="Q23" s="18">
        <v>229.59</v>
      </c>
      <c r="R23" s="48">
        <v>200.86</v>
      </c>
      <c r="S23" s="18">
        <v>160.13</v>
      </c>
      <c r="T23" s="66">
        <v>183.12</v>
      </c>
      <c r="U23" s="124">
        <v>257.39</v>
      </c>
    </row>
    <row r="24" spans="2:23" x14ac:dyDescent="0.3">
      <c r="B24" s="25" t="s">
        <v>144</v>
      </c>
      <c r="C24" s="18">
        <v>0</v>
      </c>
      <c r="D24" s="18">
        <v>521.21</v>
      </c>
      <c r="E24" s="18">
        <v>450.3</v>
      </c>
      <c r="F24" s="18">
        <v>72.7</v>
      </c>
      <c r="G24" s="18">
        <v>1</v>
      </c>
      <c r="H24" s="18">
        <v>0</v>
      </c>
      <c r="I24" s="92">
        <v>0</v>
      </c>
      <c r="J24" s="110">
        <v>37.92</v>
      </c>
      <c r="K24" s="114">
        <v>0</v>
      </c>
      <c r="L24" s="118"/>
      <c r="M24" s="24" t="s">
        <v>126</v>
      </c>
      <c r="N24" s="18">
        <v>896.02300000000002</v>
      </c>
      <c r="O24" s="18">
        <v>633.13</v>
      </c>
      <c r="P24" s="18">
        <v>316.44</v>
      </c>
      <c r="Q24" s="18">
        <v>181.98</v>
      </c>
      <c r="R24" s="48">
        <v>208.47</v>
      </c>
      <c r="S24" s="18">
        <v>304.88</v>
      </c>
      <c r="T24" s="66">
        <v>997.41</v>
      </c>
      <c r="U24" s="124">
        <v>1003.02</v>
      </c>
    </row>
    <row r="25" spans="2:23" x14ac:dyDescent="0.3">
      <c r="B25" s="24" t="s">
        <v>61</v>
      </c>
      <c r="C25" s="18"/>
      <c r="D25" s="18"/>
      <c r="E25" s="18"/>
      <c r="F25" s="18"/>
      <c r="G25" s="18"/>
      <c r="H25" s="18"/>
      <c r="I25" s="92"/>
      <c r="J25" s="103"/>
      <c r="K25" s="7"/>
      <c r="L25" s="118"/>
      <c r="M25" s="24" t="s">
        <v>127</v>
      </c>
      <c r="N25" s="18">
        <v>75.13</v>
      </c>
      <c r="O25" s="18">
        <v>26.22</v>
      </c>
      <c r="P25" s="18">
        <v>16.649999999999999</v>
      </c>
      <c r="Q25" s="18">
        <v>36.43</v>
      </c>
      <c r="R25" s="48">
        <v>42.32</v>
      </c>
      <c r="S25" s="18">
        <v>80.400000000000006</v>
      </c>
      <c r="T25" s="66">
        <v>95.89</v>
      </c>
      <c r="U25" s="124">
        <v>228.74</v>
      </c>
    </row>
    <row r="26" spans="2:23" x14ac:dyDescent="0.3">
      <c r="B26" s="24" t="s">
        <v>62</v>
      </c>
      <c r="C26" s="18">
        <v>88.02</v>
      </c>
      <c r="D26" s="18">
        <v>47.2</v>
      </c>
      <c r="E26" s="18">
        <v>6.4</v>
      </c>
      <c r="F26" s="18">
        <v>13.17</v>
      </c>
      <c r="G26" s="18">
        <v>50.67</v>
      </c>
      <c r="H26" s="18">
        <v>34.21</v>
      </c>
      <c r="I26" s="92">
        <v>9.86</v>
      </c>
      <c r="J26" s="103">
        <v>37.090000000000003</v>
      </c>
      <c r="K26" s="7">
        <v>6.72</v>
      </c>
      <c r="L26" s="118"/>
      <c r="M26" s="24" t="s">
        <v>128</v>
      </c>
      <c r="N26" s="18">
        <v>1640.53</v>
      </c>
      <c r="O26" s="18">
        <v>1141.51</v>
      </c>
      <c r="P26" s="18">
        <v>691.2</v>
      </c>
      <c r="Q26" s="18">
        <v>691.2</v>
      </c>
      <c r="R26" s="48">
        <v>691.21</v>
      </c>
      <c r="S26" s="18">
        <v>691.21</v>
      </c>
      <c r="T26" s="66">
        <v>1414.72</v>
      </c>
      <c r="U26" s="124">
        <v>1414.72</v>
      </c>
    </row>
    <row r="27" spans="2:23" x14ac:dyDescent="0.3">
      <c r="B27" s="24" t="s">
        <v>63</v>
      </c>
      <c r="C27" s="18">
        <v>-34.700000000000003</v>
      </c>
      <c r="D27" s="18">
        <v>-9.5</v>
      </c>
      <c r="E27" s="18">
        <v>59.9</v>
      </c>
      <c r="F27" s="18">
        <v>1.98</v>
      </c>
      <c r="G27" s="18">
        <v>-5.21</v>
      </c>
      <c r="H27" s="18">
        <v>-2.13</v>
      </c>
      <c r="I27" s="92">
        <v>-15.29</v>
      </c>
      <c r="J27" s="103">
        <v>-18.8</v>
      </c>
      <c r="K27" s="7">
        <v>-2.33</v>
      </c>
      <c r="L27" s="118"/>
      <c r="M27" s="24" t="s">
        <v>129</v>
      </c>
      <c r="N27" s="18"/>
      <c r="O27" s="18"/>
      <c r="P27" s="18"/>
      <c r="Q27" s="18"/>
      <c r="R27" s="48"/>
      <c r="S27" s="18"/>
      <c r="T27" s="66"/>
      <c r="U27" s="124"/>
    </row>
    <row r="28" spans="2:23" x14ac:dyDescent="0.3">
      <c r="B28" s="24" t="s">
        <v>152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92">
        <v>-9.0399999999999991</v>
      </c>
      <c r="J28" s="103"/>
      <c r="K28" s="7"/>
      <c r="L28" s="118"/>
      <c r="M28" s="24" t="s">
        <v>124</v>
      </c>
      <c r="N28" s="18" t="s">
        <v>123</v>
      </c>
      <c r="O28" s="18" t="s">
        <v>123</v>
      </c>
      <c r="P28" s="18" t="s">
        <v>123</v>
      </c>
      <c r="Q28" s="18" t="s">
        <v>123</v>
      </c>
      <c r="R28" s="48">
        <v>0.03</v>
      </c>
      <c r="S28" s="18">
        <v>0</v>
      </c>
      <c r="T28" s="66">
        <v>0</v>
      </c>
      <c r="U28" s="124">
        <v>0</v>
      </c>
    </row>
    <row r="29" spans="2:23" x14ac:dyDescent="0.3">
      <c r="B29" s="24" t="s">
        <v>151</v>
      </c>
      <c r="C29" s="18">
        <v>0</v>
      </c>
      <c r="D29" s="18">
        <v>1.87</v>
      </c>
      <c r="E29" s="18">
        <v>0</v>
      </c>
      <c r="F29" s="18">
        <v>0</v>
      </c>
      <c r="G29" s="18">
        <v>0</v>
      </c>
      <c r="H29" s="18">
        <v>0</v>
      </c>
      <c r="I29" s="92">
        <v>0</v>
      </c>
      <c r="J29" s="103">
        <v>0</v>
      </c>
      <c r="K29" s="7"/>
      <c r="L29" s="118"/>
      <c r="M29" s="24" t="s">
        <v>125</v>
      </c>
      <c r="N29" s="18">
        <v>23.55</v>
      </c>
      <c r="O29" s="18">
        <v>0.8</v>
      </c>
      <c r="P29" s="18">
        <v>21.3</v>
      </c>
      <c r="Q29" s="18" t="s">
        <v>123</v>
      </c>
      <c r="R29" s="48">
        <v>6.17</v>
      </c>
      <c r="S29" s="18">
        <v>137.16999999999999</v>
      </c>
      <c r="T29" s="66">
        <v>0</v>
      </c>
      <c r="U29" s="124"/>
    </row>
    <row r="30" spans="2:23" x14ac:dyDescent="0.3">
      <c r="B30" s="24" t="s">
        <v>65</v>
      </c>
      <c r="C30" s="18">
        <f t="shared" ref="C30:H30" si="14">C26+C27+C29</f>
        <v>53.319999999999993</v>
      </c>
      <c r="D30" s="18">
        <f t="shared" si="14"/>
        <v>39.57</v>
      </c>
      <c r="E30" s="18">
        <f t="shared" si="14"/>
        <v>66.3</v>
      </c>
      <c r="F30" s="18">
        <f t="shared" si="14"/>
        <v>15.15</v>
      </c>
      <c r="G30" s="18">
        <f t="shared" si="14"/>
        <v>45.46</v>
      </c>
      <c r="H30" s="18">
        <f t="shared" si="14"/>
        <v>32.08</v>
      </c>
      <c r="I30" s="92">
        <f>I26+I27+I28+I29</f>
        <v>-14.469999999999999</v>
      </c>
      <c r="J30" s="92">
        <f>J26+J27+J28+J29</f>
        <v>18.290000000000003</v>
      </c>
      <c r="K30" s="18">
        <f>K26+K27+K28+K29</f>
        <v>4.3899999999999997</v>
      </c>
      <c r="L30" s="118"/>
      <c r="M30" s="24" t="s">
        <v>18</v>
      </c>
      <c r="N30" s="18">
        <v>29.46</v>
      </c>
      <c r="O30" s="18">
        <v>25.8</v>
      </c>
      <c r="P30" s="18">
        <v>22.9</v>
      </c>
      <c r="Q30" s="18">
        <v>47.91</v>
      </c>
      <c r="R30" s="48">
        <v>47.79</v>
      </c>
      <c r="S30" s="18">
        <v>22.37</v>
      </c>
      <c r="T30" s="66">
        <v>125.91</v>
      </c>
      <c r="U30" s="124">
        <v>99.94</v>
      </c>
    </row>
    <row r="31" spans="2:23" x14ac:dyDescent="0.3">
      <c r="B31" s="23" t="s">
        <v>64</v>
      </c>
      <c r="C31" s="62">
        <f t="shared" ref="C31:H31" si="15">C30/C22</f>
        <v>-2.5897575380789538E-2</v>
      </c>
      <c r="D31" s="62">
        <f t="shared" si="15"/>
        <v>-0.31152574397732674</v>
      </c>
      <c r="E31" s="62">
        <f t="shared" si="15"/>
        <v>-9.9247039803601639E-2</v>
      </c>
      <c r="F31" s="62">
        <f t="shared" si="15"/>
        <v>-5.7903990215563438E-2</v>
      </c>
      <c r="G31" s="62">
        <f t="shared" si="15"/>
        <v>0.37013515714052969</v>
      </c>
      <c r="H31" s="62">
        <f t="shared" si="15"/>
        <v>-2.4734001542018476</v>
      </c>
      <c r="I31" s="62">
        <f>I30/I22</f>
        <v>-4.1193384006604702E-2</v>
      </c>
      <c r="J31" s="90">
        <f>J30/J22</f>
        <v>3.4883942705651247E-2</v>
      </c>
      <c r="K31" s="9">
        <f>K30/K22</f>
        <v>0.56426735218508783</v>
      </c>
      <c r="L31" s="118"/>
      <c r="M31" s="24" t="s">
        <v>130</v>
      </c>
      <c r="N31" s="18">
        <v>476.16</v>
      </c>
      <c r="O31" s="18">
        <v>479.33</v>
      </c>
      <c r="P31" s="18">
        <v>243.23</v>
      </c>
      <c r="Q31" s="47">
        <v>196.53</v>
      </c>
      <c r="R31" s="48">
        <v>303.51</v>
      </c>
      <c r="S31" s="47">
        <v>332.95</v>
      </c>
      <c r="T31" s="66">
        <v>494.75</v>
      </c>
      <c r="U31" s="124">
        <v>518.42999999999995</v>
      </c>
    </row>
    <row r="32" spans="2:23" x14ac:dyDescent="0.3">
      <c r="B32" s="26" t="s">
        <v>66</v>
      </c>
      <c r="C32" s="4">
        <f>C22-C30-C23-C24</f>
        <v>-2125.0000000000014</v>
      </c>
      <c r="D32" s="4">
        <f>D22-D30-D23-D24-D29</f>
        <v>-700.46999999999991</v>
      </c>
      <c r="E32" s="4">
        <f t="shared" ref="E32:H32" si="16">E22-E30-E23-E24</f>
        <v>-1188.6299999999999</v>
      </c>
      <c r="F32" s="4">
        <f t="shared" si="16"/>
        <v>-307.85999999999967</v>
      </c>
      <c r="G32" s="4">
        <f t="shared" si="16"/>
        <v>76.360000000000383</v>
      </c>
      <c r="H32" s="4">
        <f t="shared" si="16"/>
        <v>-45.050000000000821</v>
      </c>
      <c r="I32" s="95">
        <f>I22-I30-I23-I24</f>
        <v>365.7399999999991</v>
      </c>
      <c r="J32" s="95">
        <f>J22-J30-J24</f>
        <v>468.09999999999991</v>
      </c>
      <c r="K32" s="115">
        <f>K22-K30-K24</f>
        <v>3.3900000000000299</v>
      </c>
      <c r="L32" s="118"/>
      <c r="M32" s="24" t="s">
        <v>157</v>
      </c>
      <c r="N32" s="18">
        <v>112.78</v>
      </c>
      <c r="O32" s="18">
        <v>97.84</v>
      </c>
      <c r="P32" s="18">
        <v>14.49</v>
      </c>
      <c r="Q32" s="47">
        <v>9.64</v>
      </c>
      <c r="R32" s="50">
        <v>10.65</v>
      </c>
      <c r="S32" s="47">
        <v>10.83</v>
      </c>
      <c r="T32" s="135">
        <v>22.63</v>
      </c>
      <c r="U32" s="129">
        <v>30.8</v>
      </c>
    </row>
    <row r="33" spans="2:21" x14ac:dyDescent="0.3">
      <c r="B33" s="27" t="s">
        <v>67</v>
      </c>
      <c r="C33" s="7">
        <v>0</v>
      </c>
      <c r="D33" s="7">
        <v>0</v>
      </c>
      <c r="E33" s="7">
        <v>0</v>
      </c>
      <c r="F33" s="7">
        <v>0</v>
      </c>
      <c r="G33" s="39">
        <v>0</v>
      </c>
      <c r="H33" s="7">
        <v>0</v>
      </c>
      <c r="I33" s="7">
        <v>0</v>
      </c>
      <c r="J33" s="111">
        <v>0</v>
      </c>
      <c r="K33" s="7">
        <v>0</v>
      </c>
      <c r="L33" s="118"/>
      <c r="M33" s="24" t="s">
        <v>158</v>
      </c>
      <c r="N33" s="18">
        <v>232.09</v>
      </c>
      <c r="O33" s="18">
        <v>226.74</v>
      </c>
      <c r="P33" s="18">
        <v>227.82</v>
      </c>
      <c r="Q33" s="18">
        <v>216.89</v>
      </c>
      <c r="R33" s="48">
        <v>196.69</v>
      </c>
      <c r="S33" s="18">
        <v>208.41</v>
      </c>
      <c r="T33" s="66">
        <v>169.59</v>
      </c>
      <c r="U33" s="124">
        <v>132.02000000000001</v>
      </c>
    </row>
    <row r="34" spans="2:21" x14ac:dyDescent="0.3">
      <c r="B34" s="24" t="s">
        <v>60</v>
      </c>
      <c r="C34" s="7">
        <v>0</v>
      </c>
      <c r="D34" s="7">
        <v>0</v>
      </c>
      <c r="E34" s="7">
        <v>0</v>
      </c>
      <c r="F34" s="7">
        <v>0</v>
      </c>
      <c r="G34" s="39">
        <v>0</v>
      </c>
      <c r="H34" s="7">
        <v>0</v>
      </c>
      <c r="I34" s="7">
        <v>0</v>
      </c>
      <c r="J34" s="111">
        <v>0</v>
      </c>
      <c r="K34" s="7">
        <v>0</v>
      </c>
      <c r="L34" s="118"/>
      <c r="M34" s="24" t="s">
        <v>159</v>
      </c>
      <c r="N34" s="66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137">
        <v>0</v>
      </c>
      <c r="U34" s="124">
        <v>40.06</v>
      </c>
    </row>
    <row r="35" spans="2:21" x14ac:dyDescent="0.3">
      <c r="B35" s="26" t="s">
        <v>68</v>
      </c>
      <c r="C35" s="8">
        <f t="shared" ref="C35:D35" si="17">C33-C34</f>
        <v>0</v>
      </c>
      <c r="D35" s="8">
        <f t="shared" si="17"/>
        <v>0</v>
      </c>
      <c r="E35" s="8">
        <f t="shared" ref="E35" si="18">E33-E34</f>
        <v>0</v>
      </c>
      <c r="F35" s="8">
        <f t="shared" ref="F35" si="19">F33-F34</f>
        <v>0</v>
      </c>
      <c r="G35" s="8">
        <f t="shared" ref="G35:H35" si="20">G33-G34</f>
        <v>0</v>
      </c>
      <c r="H35" s="8">
        <f t="shared" si="20"/>
        <v>0</v>
      </c>
      <c r="I35" s="8">
        <f t="shared" ref="I35:J35" si="21">I33-I34</f>
        <v>0</v>
      </c>
      <c r="J35" s="72">
        <f t="shared" si="21"/>
        <v>0</v>
      </c>
      <c r="K35" s="17">
        <v>0</v>
      </c>
      <c r="L35" s="118"/>
      <c r="M35" s="19" t="s">
        <v>19</v>
      </c>
      <c r="N35" s="43">
        <f t="shared" ref="N35:U35" si="22">SUM(N22:N34)</f>
        <v>3799.7330000000006</v>
      </c>
      <c r="O35" s="43">
        <f t="shared" si="22"/>
        <v>3212.9700000000003</v>
      </c>
      <c r="P35" s="43">
        <f t="shared" si="22"/>
        <v>2010.91</v>
      </c>
      <c r="Q35" s="43">
        <f t="shared" si="22"/>
        <v>1632.0800000000004</v>
      </c>
      <c r="R35" s="43">
        <f t="shared" si="22"/>
        <v>1753.4700000000003</v>
      </c>
      <c r="S35" s="43">
        <f t="shared" si="22"/>
        <v>2022.19</v>
      </c>
      <c r="T35" s="79">
        <f t="shared" si="22"/>
        <v>3640.84</v>
      </c>
      <c r="U35" s="126">
        <f t="shared" si="22"/>
        <v>3825.7200000000003</v>
      </c>
    </row>
    <row r="36" spans="2:21" x14ac:dyDescent="0.3">
      <c r="B36" s="26" t="s">
        <v>69</v>
      </c>
      <c r="C36" s="43">
        <v>-2125</v>
      </c>
      <c r="D36" s="43">
        <v>-698.6</v>
      </c>
      <c r="E36" s="43">
        <v>-1188.6300000000001</v>
      </c>
      <c r="F36" s="43">
        <f t="shared" ref="F36:G36" si="23">F32+F35</f>
        <v>-307.85999999999967</v>
      </c>
      <c r="G36" s="43">
        <f t="shared" si="23"/>
        <v>76.360000000000383</v>
      </c>
      <c r="H36" s="43">
        <f>H32+H35</f>
        <v>-45.050000000000821</v>
      </c>
      <c r="I36" s="79">
        <f>I32+I35</f>
        <v>365.7399999999991</v>
      </c>
      <c r="J36" s="102">
        <f>J32+J35</f>
        <v>468.09999999999991</v>
      </c>
      <c r="K36" s="17">
        <f>K32+K35</f>
        <v>3.3900000000000299</v>
      </c>
      <c r="L36" s="118"/>
      <c r="M36" s="28" t="s">
        <v>20</v>
      </c>
      <c r="N36" s="46"/>
      <c r="O36" s="18"/>
      <c r="P36" s="18"/>
      <c r="Q36" s="18"/>
      <c r="R36" s="48"/>
      <c r="S36" s="18"/>
      <c r="T36" s="66"/>
      <c r="U36" s="124"/>
    </row>
    <row r="37" spans="2:21" x14ac:dyDescent="0.3">
      <c r="B37" s="23" t="s">
        <v>70</v>
      </c>
      <c r="C37" s="1"/>
      <c r="D37" s="6">
        <f t="shared" ref="D37:K37" si="24">IF(D36/D4&gt;100%,"N.A.",IF(D36/D4&lt;-100%,"N.A.",(D36/D4)))</f>
        <v>-0.1037525266101617</v>
      </c>
      <c r="E37" s="6">
        <f t="shared" si="24"/>
        <v>-0.94749302510960554</v>
      </c>
      <c r="F37" s="6">
        <f t="shared" si="24"/>
        <v>-0.15543303747235754</v>
      </c>
      <c r="G37" s="6">
        <f t="shared" si="24"/>
        <v>2.0086332297801809E-2</v>
      </c>
      <c r="H37" s="6">
        <f t="shared" si="24"/>
        <v>-1.0667190752102259E-2</v>
      </c>
      <c r="I37" s="62">
        <f t="shared" si="24"/>
        <v>4.6211851279057609E-2</v>
      </c>
      <c r="J37" s="90">
        <f t="shared" si="24"/>
        <v>4.6507237881392126E-2</v>
      </c>
      <c r="K37" s="9">
        <f t="shared" si="24"/>
        <v>1.8041991537827136E-3</v>
      </c>
      <c r="L37" s="118"/>
      <c r="M37" s="24" t="s">
        <v>131</v>
      </c>
      <c r="N37" s="18" t="s">
        <v>123</v>
      </c>
      <c r="O37" s="18" t="s">
        <v>123</v>
      </c>
      <c r="P37" s="18">
        <v>0.6</v>
      </c>
      <c r="Q37" s="18">
        <v>0.1</v>
      </c>
      <c r="R37" s="48">
        <v>190.6</v>
      </c>
      <c r="S37" s="18">
        <v>0</v>
      </c>
      <c r="T37" s="66">
        <v>0</v>
      </c>
      <c r="U37" s="124"/>
    </row>
    <row r="38" spans="2:21" x14ac:dyDescent="0.3">
      <c r="B38" s="23" t="s">
        <v>50</v>
      </c>
      <c r="C38" s="1"/>
      <c r="D38" s="9">
        <f t="shared" ref="D38:I38" si="25">IF(D36/C36-1&gt;100%,"N.A.",IF(D36/C36-1&lt;-100%,"N.A.",D36/C36-1))</f>
        <v>-0.67124705882352942</v>
      </c>
      <c r="E38" s="9">
        <f t="shared" si="25"/>
        <v>0.70144574864013753</v>
      </c>
      <c r="F38" s="9">
        <f t="shared" si="25"/>
        <v>-0.74099593649832185</v>
      </c>
      <c r="G38" s="9" t="str">
        <f t="shared" si="25"/>
        <v>N.A.</v>
      </c>
      <c r="H38" s="9" t="str">
        <f t="shared" si="25"/>
        <v>N.A.</v>
      </c>
      <c r="I38" s="9" t="str">
        <f t="shared" si="25"/>
        <v>N.A.</v>
      </c>
      <c r="J38" s="90">
        <f>IF(J36/I36-1&gt;100%,"N.A.",IF(J36/I36-1&lt;-100%,"N.A.",J36/I36-1))</f>
        <v>0.27987094657407185</v>
      </c>
      <c r="K38" s="112" t="s">
        <v>123</v>
      </c>
      <c r="L38" s="118"/>
      <c r="M38" s="24" t="s">
        <v>22</v>
      </c>
      <c r="N38" s="18"/>
      <c r="O38" s="18"/>
      <c r="P38" s="18"/>
      <c r="Q38" s="18"/>
      <c r="R38" s="48"/>
      <c r="S38" s="18"/>
      <c r="T38" s="66"/>
      <c r="U38" s="124"/>
    </row>
    <row r="39" spans="2:21" x14ac:dyDescent="0.3">
      <c r="B39" s="23" t="s">
        <v>56</v>
      </c>
      <c r="C39" s="1"/>
      <c r="D39" s="6"/>
      <c r="E39" s="6"/>
      <c r="F39" s="6">
        <f t="shared" ref="F39:G39" si="26">IF((F36/C36)^(1/3)-1&gt;100%,"N.A.",IF((F36/C36)^(1/3)-1&lt;-100%,"N.A.",((F36/C36)^(1/3)-1)))</f>
        <v>-0.47479186590483069</v>
      </c>
      <c r="G39" s="9" t="str">
        <f t="shared" si="26"/>
        <v>N.A.</v>
      </c>
      <c r="H39" s="6">
        <f>IF((H36/E36)^(1/3)-1&gt;100%,"N.A.",IF((H36/E36)^(1/3)-1&lt;-100%,"N.A.",((H36/E36)^(1/3)-1)))</f>
        <v>-0.66409533445609781</v>
      </c>
      <c r="I39" s="9" t="str">
        <f t="shared" ref="I39" si="27">IF((I36/F36)^(1/3)-1&gt;100%,"N.A.",IF((I36/F36)^(1/3)-1&lt;-100%,"N.A.",((I36/F36)^(1/3)-1)))</f>
        <v>N.A.</v>
      </c>
      <c r="J39" s="62">
        <f>IF((J36/G36)^(1/3)-1&gt;100%,"N.A.",IF((J36/G36)^(1/3)-1&lt;-100%,"N.A.",((J36/G36)^(1/3)-1)))</f>
        <v>0.83016778751348586</v>
      </c>
      <c r="K39" s="112" t="s">
        <v>123</v>
      </c>
      <c r="L39" s="118"/>
      <c r="M39" s="24" t="s">
        <v>132</v>
      </c>
      <c r="N39" s="47">
        <v>1.84</v>
      </c>
      <c r="O39" s="47">
        <v>2.72</v>
      </c>
      <c r="P39" s="47">
        <v>1.3</v>
      </c>
      <c r="Q39" s="47">
        <v>2.76</v>
      </c>
      <c r="R39" s="48">
        <v>3.35</v>
      </c>
      <c r="S39" s="47">
        <v>10.9</v>
      </c>
      <c r="T39" s="66">
        <v>22.52</v>
      </c>
      <c r="U39" s="124">
        <v>29.44</v>
      </c>
    </row>
    <row r="40" spans="2:21" x14ac:dyDescent="0.3">
      <c r="B40" s="28" t="s">
        <v>71</v>
      </c>
      <c r="C40" s="1"/>
      <c r="D40" s="3"/>
      <c r="E40" s="3"/>
      <c r="F40" s="3"/>
      <c r="G40" s="3"/>
      <c r="H40" s="3"/>
      <c r="I40" s="96"/>
      <c r="J40" s="106"/>
      <c r="K40" s="112"/>
      <c r="L40" s="118"/>
      <c r="M40" s="24" t="s">
        <v>23</v>
      </c>
      <c r="N40" s="18">
        <v>4843.32</v>
      </c>
      <c r="O40" s="18">
        <v>2446.75</v>
      </c>
      <c r="P40" s="18">
        <v>974.7</v>
      </c>
      <c r="Q40" s="18">
        <v>1940.2</v>
      </c>
      <c r="R40" s="51">
        <v>2710.17</v>
      </c>
      <c r="S40" s="18">
        <v>4501.78</v>
      </c>
      <c r="T40" s="65">
        <v>5452.91</v>
      </c>
      <c r="U40" s="130">
        <v>5353.3</v>
      </c>
    </row>
    <row r="41" spans="2:21" x14ac:dyDescent="0.3">
      <c r="B41" s="24" t="s">
        <v>72</v>
      </c>
      <c r="C41" s="1"/>
      <c r="D41" s="1"/>
      <c r="E41" s="1"/>
      <c r="F41" s="3"/>
      <c r="G41" s="3"/>
      <c r="H41" s="3"/>
      <c r="I41" s="96"/>
      <c r="J41" s="106"/>
      <c r="K41" s="112"/>
      <c r="L41" s="118"/>
      <c r="M41" s="24" t="s">
        <v>24</v>
      </c>
      <c r="N41" s="18">
        <v>1354.88</v>
      </c>
      <c r="O41" s="18">
        <v>1294.6300000000001</v>
      </c>
      <c r="P41" s="18">
        <v>1471.93</v>
      </c>
      <c r="Q41" s="18">
        <v>758.61</v>
      </c>
      <c r="R41" s="48">
        <v>469.02</v>
      </c>
      <c r="S41" s="18">
        <v>1400.81</v>
      </c>
      <c r="T41" s="66">
        <v>551.75</v>
      </c>
      <c r="U41" s="124">
        <v>723.72</v>
      </c>
    </row>
    <row r="42" spans="2:21" ht="28.8" x14ac:dyDescent="0.3">
      <c r="B42" s="29" t="s">
        <v>133</v>
      </c>
      <c r="C42" s="1">
        <v>5.4</v>
      </c>
      <c r="D42" s="3">
        <v>-25.1</v>
      </c>
      <c r="E42" s="3">
        <v>-1.8</v>
      </c>
      <c r="F42" s="3">
        <v>0.37</v>
      </c>
      <c r="G42" s="3">
        <v>10.32</v>
      </c>
      <c r="H42" s="3">
        <v>6.4</v>
      </c>
      <c r="I42" s="96">
        <v>-3.06</v>
      </c>
      <c r="J42" s="106">
        <v>-3.69</v>
      </c>
      <c r="K42" s="112">
        <v>-1.69</v>
      </c>
      <c r="L42" s="118"/>
      <c r="M42" s="24" t="s">
        <v>25</v>
      </c>
      <c r="N42" s="18">
        <v>991.72</v>
      </c>
      <c r="O42" s="18">
        <v>734.53</v>
      </c>
      <c r="P42" s="18">
        <v>488.93</v>
      </c>
      <c r="Q42" s="18">
        <v>521.14</v>
      </c>
      <c r="R42" s="48">
        <v>553.67999999999995</v>
      </c>
      <c r="S42" s="18">
        <v>2620.66</v>
      </c>
      <c r="T42" s="66">
        <v>435.04</v>
      </c>
      <c r="U42" s="124">
        <v>190.24</v>
      </c>
    </row>
    <row r="43" spans="2:21" ht="28.8" x14ac:dyDescent="0.3">
      <c r="B43" s="29" t="s">
        <v>119</v>
      </c>
      <c r="C43" s="1">
        <v>-0.8</v>
      </c>
      <c r="D43" s="3">
        <v>0.8</v>
      </c>
      <c r="E43" s="3">
        <v>-0.2</v>
      </c>
      <c r="F43" s="3">
        <v>0</v>
      </c>
      <c r="G43" s="3">
        <v>0.13</v>
      </c>
      <c r="H43" s="3">
        <v>-0.44</v>
      </c>
      <c r="I43" s="96">
        <v>0</v>
      </c>
      <c r="J43" s="106">
        <v>0</v>
      </c>
      <c r="K43" s="112"/>
      <c r="L43" s="118"/>
      <c r="M43" s="24" t="s">
        <v>26</v>
      </c>
      <c r="N43" s="18">
        <v>216.1</v>
      </c>
      <c r="O43" s="18">
        <v>260.89999999999998</v>
      </c>
      <c r="P43" s="18">
        <v>113.01</v>
      </c>
      <c r="Q43" s="18">
        <v>67.72</v>
      </c>
      <c r="R43" s="51">
        <v>233.89</v>
      </c>
      <c r="S43" s="18">
        <v>244.68</v>
      </c>
      <c r="T43" s="65">
        <v>1022.09</v>
      </c>
      <c r="U43" s="130">
        <v>1446.01</v>
      </c>
    </row>
    <row r="44" spans="2:21" x14ac:dyDescent="0.3">
      <c r="B44" s="28" t="s">
        <v>145</v>
      </c>
      <c r="C44" s="3">
        <f t="shared" ref="C44:F44" si="28">C42+C43</f>
        <v>4.6000000000000005</v>
      </c>
      <c r="D44" s="3">
        <f t="shared" si="28"/>
        <v>-24.3</v>
      </c>
      <c r="E44" s="3">
        <f t="shared" si="28"/>
        <v>-2</v>
      </c>
      <c r="F44" s="3">
        <f t="shared" si="28"/>
        <v>0.37</v>
      </c>
      <c r="G44" s="3">
        <f>G42+G43</f>
        <v>10.450000000000001</v>
      </c>
      <c r="H44" s="3">
        <f>H42+H43</f>
        <v>5.96</v>
      </c>
      <c r="I44" s="96">
        <f>I42+I43</f>
        <v>-3.06</v>
      </c>
      <c r="J44" s="106">
        <f>J42+J43</f>
        <v>-3.69</v>
      </c>
      <c r="K44" s="116">
        <f>K42+K43</f>
        <v>-1.69</v>
      </c>
      <c r="L44" s="118"/>
      <c r="M44" s="24" t="s">
        <v>27</v>
      </c>
      <c r="N44" s="18">
        <v>871.94</v>
      </c>
      <c r="O44" s="18">
        <v>828.17</v>
      </c>
      <c r="P44" s="18">
        <v>567.70000000000005</v>
      </c>
      <c r="Q44" s="18">
        <v>555.25</v>
      </c>
      <c r="R44" s="48">
        <v>898.34</v>
      </c>
      <c r="S44" s="18">
        <v>1372.65</v>
      </c>
      <c r="T44" s="66">
        <v>2107.75</v>
      </c>
      <c r="U44" s="124">
        <v>1795.89</v>
      </c>
    </row>
    <row r="45" spans="2:21" x14ac:dyDescent="0.3">
      <c r="B45" s="19" t="s">
        <v>73</v>
      </c>
      <c r="C45" s="79">
        <f>C36-C44</f>
        <v>-2129.6</v>
      </c>
      <c r="D45" s="79">
        <f t="shared" ref="D45:H45" si="29">D36-D44</f>
        <v>-674.30000000000007</v>
      </c>
      <c r="E45" s="79">
        <f t="shared" si="29"/>
        <v>-1186.6300000000001</v>
      </c>
      <c r="F45" s="79">
        <f t="shared" si="29"/>
        <v>-308.22999999999968</v>
      </c>
      <c r="G45" s="79">
        <f t="shared" si="29"/>
        <v>65.91000000000038</v>
      </c>
      <c r="H45" s="79">
        <f t="shared" si="29"/>
        <v>-51.010000000000822</v>
      </c>
      <c r="I45" s="79">
        <f>I36+I44</f>
        <v>362.6799999999991</v>
      </c>
      <c r="J45" s="79">
        <f>J36+J44</f>
        <v>464.40999999999991</v>
      </c>
      <c r="K45" s="8">
        <f>K36+K44</f>
        <v>1.7000000000000299</v>
      </c>
      <c r="L45" s="118"/>
      <c r="M45" s="19" t="s">
        <v>28</v>
      </c>
      <c r="N45" s="43">
        <f t="shared" ref="N45:U45" si="30">SUM(N37:N44)</f>
        <v>8279.8000000000011</v>
      </c>
      <c r="O45" s="43">
        <f t="shared" si="30"/>
        <v>5567.7</v>
      </c>
      <c r="P45" s="43">
        <f t="shared" si="30"/>
        <v>3618.17</v>
      </c>
      <c r="Q45" s="43">
        <f t="shared" si="30"/>
        <v>3845.7799999999997</v>
      </c>
      <c r="R45" s="43">
        <f t="shared" si="30"/>
        <v>5059.05</v>
      </c>
      <c r="S45" s="43">
        <f t="shared" si="30"/>
        <v>10151.48</v>
      </c>
      <c r="T45" s="79">
        <f t="shared" si="30"/>
        <v>9592.0600000000013</v>
      </c>
      <c r="U45" s="126">
        <f t="shared" si="30"/>
        <v>9538.6</v>
      </c>
    </row>
    <row r="46" spans="2:21" x14ac:dyDescent="0.3">
      <c r="B46" s="23" t="s">
        <v>50</v>
      </c>
      <c r="C46" s="1"/>
      <c r="D46" s="9">
        <f t="shared" ref="D46:I46" si="31">IF(D45/C45-1&gt;100%,"N.A.",IF(D45/C45-1&lt;-100%,"N.A.",D45/C45-1))</f>
        <v>-0.68336776859504123</v>
      </c>
      <c r="E46" s="9">
        <f t="shared" si="31"/>
        <v>0.75979534331899745</v>
      </c>
      <c r="F46" s="9">
        <f t="shared" si="31"/>
        <v>-0.74024759191997536</v>
      </c>
      <c r="G46" s="9" t="str">
        <f t="shared" si="31"/>
        <v>N.A.</v>
      </c>
      <c r="H46" s="9" t="str">
        <f t="shared" si="31"/>
        <v>N.A.</v>
      </c>
      <c r="I46" s="9" t="str">
        <f t="shared" si="31"/>
        <v>N.A.</v>
      </c>
      <c r="J46" s="90">
        <f>IF(J45/I45-1&gt;100%,"N.A.",IF(J45/I45-1&lt;-100%,"N.A.",J45/I45-1))</f>
        <v>0.28049520238226822</v>
      </c>
      <c r="K46" s="112" t="s">
        <v>123</v>
      </c>
      <c r="L46" s="118"/>
      <c r="M46" s="28" t="s">
        <v>29</v>
      </c>
      <c r="N46" s="46"/>
      <c r="O46" s="18"/>
      <c r="P46" s="18"/>
      <c r="Q46" s="18"/>
      <c r="R46" s="48"/>
      <c r="S46" s="18"/>
      <c r="T46" s="66"/>
      <c r="U46" s="124"/>
    </row>
    <row r="47" spans="2:21" x14ac:dyDescent="0.3">
      <c r="B47" s="23" t="s">
        <v>56</v>
      </c>
      <c r="C47" s="1"/>
      <c r="D47" s="6"/>
      <c r="E47" s="6"/>
      <c r="F47" s="6">
        <f t="shared" ref="F47:I47" si="32">IF((F45/C45)^(1/3)-1&gt;100%,"N.A.",IF((F45/C45)^(1/3)-1&lt;-100%,"N.A.",((F45/C45)^(1/3)-1)))</f>
        <v>-0.47496012314846547</v>
      </c>
      <c r="G47" s="6" t="str">
        <f t="shared" si="32"/>
        <v>N.A.</v>
      </c>
      <c r="H47" s="6">
        <f t="shared" si="32"/>
        <v>-0.64969473349804496</v>
      </c>
      <c r="I47" s="9" t="str">
        <f t="shared" si="32"/>
        <v>N.A.</v>
      </c>
      <c r="J47" s="62">
        <f>IF((J45/G45)^(1/3)-1&gt;100%,"N.A.",IF((J45/G45)^(1/3)-1&lt;-100%,"N.A.",((J45/G45)^(1/3)-1)))</f>
        <v>0.91712346867906969</v>
      </c>
      <c r="K47" s="112" t="s">
        <v>123</v>
      </c>
      <c r="L47" s="118"/>
      <c r="M47" s="24" t="s">
        <v>30</v>
      </c>
      <c r="N47" s="18"/>
      <c r="O47" s="18"/>
      <c r="P47" s="18"/>
      <c r="Q47" s="18"/>
      <c r="R47" s="48"/>
      <c r="S47" s="18"/>
      <c r="T47" s="66"/>
      <c r="U47" s="124"/>
    </row>
    <row r="48" spans="2:21" x14ac:dyDescent="0.3">
      <c r="B48" s="24" t="s">
        <v>76</v>
      </c>
      <c r="C48" s="1"/>
      <c r="D48" s="3"/>
      <c r="E48" s="3"/>
      <c r="F48" s="3"/>
      <c r="G48" s="3"/>
      <c r="H48" s="3"/>
      <c r="I48" s="96"/>
      <c r="J48" s="106"/>
      <c r="K48" s="112"/>
      <c r="L48" s="118"/>
      <c r="M48" s="24" t="s">
        <v>31</v>
      </c>
      <c r="N48" s="18">
        <v>23.6</v>
      </c>
      <c r="O48" s="18">
        <v>7.22</v>
      </c>
      <c r="P48" s="18">
        <v>3.15</v>
      </c>
      <c r="Q48" s="18">
        <v>4.2</v>
      </c>
      <c r="R48" s="48">
        <v>239.96</v>
      </c>
      <c r="S48" s="18">
        <v>114.68</v>
      </c>
      <c r="T48" s="66">
        <v>20.74</v>
      </c>
      <c r="U48" s="124">
        <v>12.09</v>
      </c>
    </row>
    <row r="49" spans="2:21" x14ac:dyDescent="0.3">
      <c r="B49" s="30" t="s">
        <v>74</v>
      </c>
      <c r="C49" s="1">
        <v>-23.07</v>
      </c>
      <c r="D49" s="2">
        <v>-6.62</v>
      </c>
      <c r="E49" s="2">
        <v>-11.08</v>
      </c>
      <c r="F49" s="2">
        <v>-2.76</v>
      </c>
      <c r="G49" s="2">
        <v>0.69</v>
      </c>
      <c r="H49" s="2">
        <v>-0.33</v>
      </c>
      <c r="I49" s="97">
        <v>2.33</v>
      </c>
      <c r="J49" s="107">
        <v>2.98</v>
      </c>
      <c r="K49" s="112">
        <v>0.02</v>
      </c>
      <c r="L49" s="118"/>
      <c r="M49" s="24" t="s">
        <v>37</v>
      </c>
      <c r="N49" s="47">
        <v>3.1</v>
      </c>
      <c r="O49" s="47">
        <v>27.8</v>
      </c>
      <c r="P49" s="47">
        <v>34.94</v>
      </c>
      <c r="Q49" s="18">
        <v>42.62</v>
      </c>
      <c r="R49" s="48" t="s">
        <v>123</v>
      </c>
      <c r="S49" s="18">
        <v>0</v>
      </c>
      <c r="T49" s="66">
        <v>0</v>
      </c>
      <c r="U49" s="124">
        <v>0</v>
      </c>
    </row>
    <row r="50" spans="2:21" x14ac:dyDescent="0.3">
      <c r="B50" s="30" t="s">
        <v>75</v>
      </c>
      <c r="C50" s="1">
        <v>-23.07</v>
      </c>
      <c r="D50" s="2">
        <v>-6.62</v>
      </c>
      <c r="E50" s="2">
        <v>-11.08</v>
      </c>
      <c r="F50" s="2">
        <v>-2.76</v>
      </c>
      <c r="G50" s="2">
        <v>0.69</v>
      </c>
      <c r="H50" s="2">
        <v>-0.33</v>
      </c>
      <c r="I50" s="97">
        <v>2.33</v>
      </c>
      <c r="J50" s="107">
        <v>2.98</v>
      </c>
      <c r="K50" s="112">
        <v>0.02</v>
      </c>
      <c r="L50" s="118"/>
      <c r="M50" s="24" t="s">
        <v>134</v>
      </c>
      <c r="N50" s="47">
        <v>148.11000000000001</v>
      </c>
      <c r="O50" s="47">
        <v>476.41</v>
      </c>
      <c r="P50" s="47">
        <v>409.6</v>
      </c>
      <c r="Q50" s="18">
        <v>230.67</v>
      </c>
      <c r="R50" s="48">
        <v>203.39</v>
      </c>
      <c r="S50" s="18">
        <v>164.42</v>
      </c>
      <c r="T50" s="66">
        <v>186.34</v>
      </c>
      <c r="U50" s="124">
        <v>228.58</v>
      </c>
    </row>
    <row r="51" spans="2:21" x14ac:dyDescent="0.3">
      <c r="B51" s="23" t="s">
        <v>50</v>
      </c>
      <c r="C51" s="1"/>
      <c r="D51" s="9">
        <f>IF(D50/C50-1&gt;100%,"N.A.",IF(D50/C50-1&lt;-100%,"N.A.",D50/C50-1))</f>
        <v>-0.71304724750758564</v>
      </c>
      <c r="E51" s="9">
        <f>IF(E50/D50-1&gt;100%,"N.A.",IF(E50/D50-1&lt;-100%,"N.A.",E50/D50-1))</f>
        <v>0.6737160120845922</v>
      </c>
      <c r="F51" s="9">
        <f t="shared" ref="F51:I51" si="33">IF(F50/E50-1&gt;100%,"N.A.",IF(F50/E50-1&lt;-100%,"N.A.",F50/E50-1))</f>
        <v>-0.75090252707581229</v>
      </c>
      <c r="G51" s="9" t="str">
        <f t="shared" si="33"/>
        <v>N.A.</v>
      </c>
      <c r="H51" s="9" t="str">
        <f t="shared" si="33"/>
        <v>N.A.</v>
      </c>
      <c r="I51" s="9" t="str">
        <f t="shared" si="33"/>
        <v>N.A.</v>
      </c>
      <c r="J51" s="90">
        <f>IF(J50/I50-1&gt;100%,"N.A.",IF(J50/I50-1&lt;-100%,"N.A.",J50/I50-1))</f>
        <v>0.27896995708154493</v>
      </c>
      <c r="K51" s="112" t="s">
        <v>123</v>
      </c>
      <c r="L51" s="118"/>
      <c r="M51" s="24" t="s">
        <v>135</v>
      </c>
      <c r="N51" s="47" t="s">
        <v>123</v>
      </c>
      <c r="O51" s="47" t="s">
        <v>123</v>
      </c>
      <c r="P51" s="47">
        <v>269.8</v>
      </c>
      <c r="Q51" s="47" t="s">
        <v>123</v>
      </c>
      <c r="R51" s="50" t="s">
        <v>123</v>
      </c>
      <c r="S51" s="47" t="s">
        <v>123</v>
      </c>
      <c r="T51" s="135">
        <v>0</v>
      </c>
      <c r="U51" s="129"/>
    </row>
    <row r="52" spans="2:21" ht="15" thickBot="1" x14ac:dyDescent="0.35">
      <c r="B52" s="52" t="s">
        <v>56</v>
      </c>
      <c r="C52" s="53"/>
      <c r="D52" s="54"/>
      <c r="E52" s="54"/>
      <c r="F52" s="6">
        <f t="shared" ref="F52:G52" si="34">IF((F50/C50)^(1/3)-1&gt;100%,"N.A.",IF((F50/C50)^(1/3)-1&lt;-100%,"N.A.",((F50/C50)^(1/3)-1)))</f>
        <v>-0.5072569631010273</v>
      </c>
      <c r="G52" s="9" t="str">
        <f t="shared" si="34"/>
        <v>N.A.</v>
      </c>
      <c r="H52" s="6">
        <f>IF((H50/E50)^(1/3)-1&gt;100%,"N.A.",IF((H50/E50)^(1/3)-1&lt;-100%,"N.A.",((H50/E50)^(1/3)-1)))</f>
        <v>-0.69002638621461188</v>
      </c>
      <c r="I52" s="9" t="str">
        <f t="shared" ref="I52" si="35">IF((I50/F50)^(1/3)-1&gt;100%,"N.A.",IF((I50/F50)^(1/3)-1&lt;-100%,"N.A.",((I50/F50)^(1/3)-1)))</f>
        <v>N.A.</v>
      </c>
      <c r="J52" s="62">
        <f>IF((J50/G50)^(1/3)-1&gt;100%,"N.A.",IF((J50/G50)^(1/3)-1&lt;-100%,"N.A.",((J50/G50)^(1/3)-1)))</f>
        <v>0.62850485549164481</v>
      </c>
      <c r="K52" s="112" t="s">
        <v>123</v>
      </c>
      <c r="L52" s="118"/>
      <c r="M52" s="24" t="s">
        <v>32</v>
      </c>
      <c r="N52" s="18">
        <v>81.52</v>
      </c>
      <c r="O52" s="18">
        <v>56.51</v>
      </c>
      <c r="P52" s="18">
        <v>51.8</v>
      </c>
      <c r="Q52" s="18">
        <v>33.799999999999997</v>
      </c>
      <c r="R52" s="48">
        <v>40.76</v>
      </c>
      <c r="S52" s="18">
        <v>55.84</v>
      </c>
      <c r="T52" s="66">
        <v>65.819999999999993</v>
      </c>
      <c r="U52" s="124">
        <v>103.72</v>
      </c>
    </row>
    <row r="53" spans="2:21" ht="15" thickBot="1" x14ac:dyDescent="0.35">
      <c r="B53" s="22"/>
      <c r="G53" s="5"/>
      <c r="I53" s="5"/>
      <c r="J53" s="5"/>
      <c r="L53" s="118"/>
      <c r="M53" s="24" t="s">
        <v>33</v>
      </c>
      <c r="N53" s="47">
        <v>42.5</v>
      </c>
      <c r="O53" s="47">
        <v>37.659999999999997</v>
      </c>
      <c r="P53" s="47">
        <v>14.41</v>
      </c>
      <c r="Q53" s="18">
        <v>11.5</v>
      </c>
      <c r="R53" s="48">
        <v>7.15</v>
      </c>
      <c r="S53" s="18">
        <v>4.66</v>
      </c>
      <c r="T53" s="66">
        <v>142.47</v>
      </c>
      <c r="U53" s="124">
        <v>128.88</v>
      </c>
    </row>
    <row r="54" spans="2:21" ht="15.6" x14ac:dyDescent="0.3">
      <c r="B54" s="40" t="s">
        <v>87</v>
      </c>
      <c r="C54" s="55" t="s">
        <v>1</v>
      </c>
      <c r="D54" s="55" t="s">
        <v>2</v>
      </c>
      <c r="E54" s="55" t="s">
        <v>3</v>
      </c>
      <c r="F54" s="55" t="s">
        <v>4</v>
      </c>
      <c r="G54" s="55" t="s">
        <v>5</v>
      </c>
      <c r="H54" s="55" t="s">
        <v>149</v>
      </c>
      <c r="I54" s="64" t="s">
        <v>150</v>
      </c>
      <c r="J54" s="138" t="s">
        <v>155</v>
      </c>
      <c r="L54" s="118"/>
      <c r="M54" s="24" t="s">
        <v>136</v>
      </c>
      <c r="N54" s="47">
        <v>96.4</v>
      </c>
      <c r="O54" s="47">
        <v>232.1</v>
      </c>
      <c r="P54" s="47">
        <v>266.89999999999998</v>
      </c>
      <c r="Q54" s="18">
        <v>64.959999999999994</v>
      </c>
      <c r="R54" s="48" t="s">
        <v>123</v>
      </c>
      <c r="S54" s="18" t="s">
        <v>123</v>
      </c>
      <c r="T54" s="66">
        <v>0</v>
      </c>
      <c r="U54" s="124"/>
    </row>
    <row r="55" spans="2:21" x14ac:dyDescent="0.3">
      <c r="B55" s="28" t="s">
        <v>81</v>
      </c>
      <c r="C55" s="18">
        <v>1706.1</v>
      </c>
      <c r="D55" s="18">
        <v>557.54</v>
      </c>
      <c r="E55" s="18">
        <v>575.49</v>
      </c>
      <c r="F55" s="18">
        <v>1471.93</v>
      </c>
      <c r="G55" s="48">
        <f>F61</f>
        <v>758.61</v>
      </c>
      <c r="H55" s="18">
        <f>G61</f>
        <v>468.99000000000018</v>
      </c>
      <c r="I55" s="66">
        <f>H61</f>
        <v>1400.7900000000002</v>
      </c>
      <c r="J55" s="85">
        <f>I61</f>
        <v>494.61000000000013</v>
      </c>
      <c r="L55" s="118"/>
      <c r="M55" s="24" t="s">
        <v>137</v>
      </c>
      <c r="N55" s="47">
        <v>13.84</v>
      </c>
      <c r="O55" s="18" t="s">
        <v>123</v>
      </c>
      <c r="P55" s="18">
        <v>44.59</v>
      </c>
      <c r="Q55" s="18" t="s">
        <v>123</v>
      </c>
      <c r="R55" s="48" t="s">
        <v>123</v>
      </c>
      <c r="S55" s="18" t="s">
        <v>123</v>
      </c>
      <c r="T55" s="66">
        <v>0</v>
      </c>
      <c r="U55" s="124"/>
    </row>
    <row r="56" spans="2:21" x14ac:dyDescent="0.3">
      <c r="B56" s="30" t="s">
        <v>77</v>
      </c>
      <c r="C56" s="18">
        <v>-4094.07</v>
      </c>
      <c r="D56" s="18">
        <v>-427.09</v>
      </c>
      <c r="E56" s="18">
        <v>1041.05</v>
      </c>
      <c r="F56" s="18">
        <v>-833.86</v>
      </c>
      <c r="G56" s="48">
        <v>-1530.87</v>
      </c>
      <c r="H56" s="18">
        <v>-1424.48</v>
      </c>
      <c r="I56" s="66">
        <v>-886.46</v>
      </c>
      <c r="J56" s="85">
        <v>760.65</v>
      </c>
      <c r="L56" s="118"/>
      <c r="M56" s="19" t="s">
        <v>34</v>
      </c>
      <c r="N56" s="43">
        <f t="shared" ref="N56:U56" si="36">SUM(N48:N55)</f>
        <v>409.07</v>
      </c>
      <c r="O56" s="43">
        <f t="shared" si="36"/>
        <v>837.7</v>
      </c>
      <c r="P56" s="43">
        <f t="shared" si="36"/>
        <v>1095.1899999999998</v>
      </c>
      <c r="Q56" s="43">
        <f t="shared" si="36"/>
        <v>387.75</v>
      </c>
      <c r="R56" s="43">
        <f t="shared" si="36"/>
        <v>491.26</v>
      </c>
      <c r="S56" s="43">
        <f t="shared" si="36"/>
        <v>339.60000000000008</v>
      </c>
      <c r="T56" s="79">
        <f t="shared" si="36"/>
        <v>415.37</v>
      </c>
      <c r="U56" s="126">
        <f t="shared" si="36"/>
        <v>473.27</v>
      </c>
    </row>
    <row r="57" spans="2:21" x14ac:dyDescent="0.3">
      <c r="B57" s="30" t="s">
        <v>78</v>
      </c>
      <c r="C57" s="18">
        <v>-641.27</v>
      </c>
      <c r="D57" s="18">
        <v>125.17</v>
      </c>
      <c r="E57" s="18">
        <v>-211.09</v>
      </c>
      <c r="F57" s="18">
        <v>-84.45</v>
      </c>
      <c r="G57" s="48">
        <v>-166.6</v>
      </c>
      <c r="H57" s="18">
        <v>-2337.31</v>
      </c>
      <c r="I57" s="66">
        <v>936.98</v>
      </c>
      <c r="J57" s="85">
        <v>-448.85</v>
      </c>
      <c r="L57" s="118"/>
      <c r="M57" s="28" t="s">
        <v>35</v>
      </c>
      <c r="N57" s="46"/>
      <c r="O57" s="18"/>
      <c r="P57" s="18"/>
      <c r="Q57" s="18"/>
      <c r="R57" s="48"/>
      <c r="S57" s="18"/>
      <c r="T57" s="66"/>
      <c r="U57" s="124"/>
    </row>
    <row r="58" spans="2:21" x14ac:dyDescent="0.3">
      <c r="B58" s="30" t="s">
        <v>79</v>
      </c>
      <c r="C58" s="18">
        <v>3582.68</v>
      </c>
      <c r="D58" s="18">
        <v>315.02</v>
      </c>
      <c r="E58" s="18">
        <v>64.58</v>
      </c>
      <c r="F58" s="18">
        <v>200.81</v>
      </c>
      <c r="G58" s="48">
        <v>1384.26</v>
      </c>
      <c r="H58" s="18">
        <v>4663.08</v>
      </c>
      <c r="I58" s="66">
        <v>-1021.95</v>
      </c>
      <c r="J58" s="85">
        <v>-544.34</v>
      </c>
      <c r="L58" s="118"/>
      <c r="M58" s="24" t="s">
        <v>30</v>
      </c>
      <c r="N58" s="18"/>
      <c r="O58" s="18"/>
      <c r="P58" s="18"/>
      <c r="Q58" s="18"/>
      <c r="R58" s="48"/>
      <c r="S58" s="18"/>
      <c r="T58" s="66"/>
      <c r="U58" s="124"/>
    </row>
    <row r="59" spans="2:21" x14ac:dyDescent="0.3">
      <c r="B59" s="31" t="s">
        <v>82</v>
      </c>
      <c r="C59" s="81">
        <f>SUM(C56:C58)</f>
        <v>-1152.6600000000003</v>
      </c>
      <c r="D59" s="81">
        <f t="shared" ref="D59:E59" si="37">SUM(D56:D58)</f>
        <v>13.100000000000023</v>
      </c>
      <c r="E59" s="81">
        <f t="shared" si="37"/>
        <v>894.54</v>
      </c>
      <c r="F59" s="81">
        <f>SUM(F56:F58)</f>
        <v>-717.5</v>
      </c>
      <c r="G59" s="77">
        <f>SUM(G56:G58)</f>
        <v>-313.20999999999981</v>
      </c>
      <c r="H59" s="81">
        <f>SUM(H56:H58)</f>
        <v>901.29</v>
      </c>
      <c r="I59" s="98">
        <f>SUM(I56:I58)</f>
        <v>-971.43000000000006</v>
      </c>
      <c r="J59" s="139">
        <f>SUM(J56:J58)</f>
        <v>-232.54000000000008</v>
      </c>
      <c r="L59" s="118"/>
      <c r="M59" s="24" t="s">
        <v>31</v>
      </c>
      <c r="N59" s="18">
        <f>N15</f>
        <v>974.12</v>
      </c>
      <c r="O59" s="18">
        <f>O15</f>
        <v>978.23</v>
      </c>
      <c r="P59" s="18">
        <v>127.96</v>
      </c>
      <c r="Q59" s="18">
        <v>354.38</v>
      </c>
      <c r="R59" s="48">
        <v>1290.78</v>
      </c>
      <c r="S59" s="18">
        <v>523.51</v>
      </c>
      <c r="T59" s="66">
        <v>525.12</v>
      </c>
      <c r="U59" s="124">
        <v>704.13</v>
      </c>
    </row>
    <row r="60" spans="2:21" x14ac:dyDescent="0.3">
      <c r="B60" s="31" t="s">
        <v>146</v>
      </c>
      <c r="C60" s="81">
        <v>4.0999999999999996</v>
      </c>
      <c r="D60" s="81">
        <v>4.8499999999999996</v>
      </c>
      <c r="E60" s="81">
        <v>1.9</v>
      </c>
      <c r="F60" s="81">
        <v>4.18</v>
      </c>
      <c r="G60" s="77">
        <v>23.59</v>
      </c>
      <c r="H60" s="81">
        <v>30.51</v>
      </c>
      <c r="I60" s="98">
        <v>65.25</v>
      </c>
      <c r="J60" s="139">
        <v>20.18</v>
      </c>
      <c r="L60" s="118"/>
      <c r="M60" s="24" t="s">
        <v>36</v>
      </c>
      <c r="N60" s="47">
        <v>15.63</v>
      </c>
      <c r="O60" s="47">
        <v>44.2</v>
      </c>
      <c r="P60" s="47">
        <v>74.2</v>
      </c>
      <c r="Q60" s="18">
        <v>38.936</v>
      </c>
      <c r="R60" s="48">
        <v>47.83</v>
      </c>
      <c r="S60" s="18">
        <v>51.32</v>
      </c>
      <c r="T60" s="66">
        <v>51.81</v>
      </c>
      <c r="U60" s="124">
        <v>84.92</v>
      </c>
    </row>
    <row r="61" spans="2:21" ht="15" thickBot="1" x14ac:dyDescent="0.35">
      <c r="B61" s="57" t="s">
        <v>80</v>
      </c>
      <c r="C61" s="58">
        <f t="shared" ref="C61:G61" si="38">C55+C59+C60</f>
        <v>557.53999999999962</v>
      </c>
      <c r="D61" s="58">
        <f t="shared" si="38"/>
        <v>575.49</v>
      </c>
      <c r="E61" s="58">
        <f t="shared" si="38"/>
        <v>1471.93</v>
      </c>
      <c r="F61" s="58">
        <f t="shared" si="38"/>
        <v>758.61</v>
      </c>
      <c r="G61" s="58">
        <f t="shared" si="38"/>
        <v>468.99000000000018</v>
      </c>
      <c r="H61" s="58">
        <f>H55+H59+H60</f>
        <v>1400.7900000000002</v>
      </c>
      <c r="I61" s="67">
        <f>I55+I59+I60</f>
        <v>494.61000000000013</v>
      </c>
      <c r="J61" s="140">
        <f>J55+J59+J60</f>
        <v>282.25000000000006</v>
      </c>
      <c r="L61" s="118"/>
      <c r="M61" s="24" t="s">
        <v>37</v>
      </c>
      <c r="N61" s="18"/>
      <c r="O61" s="18"/>
      <c r="P61" s="18"/>
      <c r="Q61" s="18"/>
      <c r="R61" s="48"/>
      <c r="S61" s="18"/>
      <c r="T61" s="66"/>
      <c r="U61" s="124"/>
    </row>
    <row r="62" spans="2:21" ht="15" thickBot="1" x14ac:dyDescent="0.35">
      <c r="B62" s="22"/>
      <c r="L62" s="118"/>
      <c r="M62" s="24" t="s">
        <v>38</v>
      </c>
      <c r="N62" s="18" t="s">
        <v>123</v>
      </c>
      <c r="O62" s="18" t="s">
        <v>123</v>
      </c>
      <c r="P62" s="18">
        <v>11.56</v>
      </c>
      <c r="Q62" s="47">
        <v>4.4000000000000004</v>
      </c>
      <c r="R62" s="48">
        <v>9.6199999999999992</v>
      </c>
      <c r="S62" s="47">
        <v>27.2</v>
      </c>
      <c r="T62" s="66">
        <v>4.55</v>
      </c>
      <c r="U62" s="124">
        <v>32.020000000000003</v>
      </c>
    </row>
    <row r="63" spans="2:21" ht="28.8" x14ac:dyDescent="0.3">
      <c r="B63" s="40" t="s">
        <v>86</v>
      </c>
      <c r="C63" s="55" t="s">
        <v>1</v>
      </c>
      <c r="D63" s="55" t="s">
        <v>2</v>
      </c>
      <c r="E63" s="55" t="s">
        <v>3</v>
      </c>
      <c r="F63" s="56" t="s">
        <v>4</v>
      </c>
      <c r="G63" s="55" t="s">
        <v>5</v>
      </c>
      <c r="H63" s="64" t="s">
        <v>149</v>
      </c>
      <c r="I63" s="64" t="s">
        <v>150</v>
      </c>
      <c r="J63" s="138" t="s">
        <v>155</v>
      </c>
      <c r="L63" s="118"/>
      <c r="M63" s="29" t="s">
        <v>39</v>
      </c>
      <c r="N63" s="18">
        <v>4402.6000000000004</v>
      </c>
      <c r="O63" s="18">
        <v>1442.7</v>
      </c>
      <c r="P63" s="18">
        <v>991.69</v>
      </c>
      <c r="Q63" s="18">
        <v>1467.29</v>
      </c>
      <c r="R63" s="48">
        <v>1375.45</v>
      </c>
      <c r="S63" s="18">
        <v>1703.72</v>
      </c>
      <c r="T63" s="66">
        <v>2260.73</v>
      </c>
      <c r="U63" s="124">
        <v>2115.7800000000002</v>
      </c>
    </row>
    <row r="64" spans="2:21" x14ac:dyDescent="0.3">
      <c r="B64" s="24" t="s">
        <v>83</v>
      </c>
      <c r="C64" s="18">
        <f t="shared" ref="C64:F64" si="39">C56</f>
        <v>-4094.07</v>
      </c>
      <c r="D64" s="18">
        <f t="shared" si="39"/>
        <v>-427.09</v>
      </c>
      <c r="E64" s="18">
        <f t="shared" si="39"/>
        <v>1041.05</v>
      </c>
      <c r="F64" s="18">
        <f t="shared" si="39"/>
        <v>-833.86</v>
      </c>
      <c r="G64" s="48">
        <f>G56</f>
        <v>-1530.87</v>
      </c>
      <c r="H64" s="66">
        <f>H56</f>
        <v>-1424.48</v>
      </c>
      <c r="I64" s="66">
        <f>I56</f>
        <v>-886.46</v>
      </c>
      <c r="J64" s="85">
        <f>J56</f>
        <v>760.65</v>
      </c>
      <c r="L64" s="118"/>
      <c r="M64" s="24" t="s">
        <v>48</v>
      </c>
      <c r="N64" s="18">
        <v>2214.58</v>
      </c>
      <c r="O64" s="18">
        <v>2204.14</v>
      </c>
      <c r="P64" s="18">
        <v>1145.24</v>
      </c>
      <c r="Q64" s="18">
        <v>1260.03</v>
      </c>
      <c r="R64" s="48">
        <v>1151.26</v>
      </c>
      <c r="S64" s="18">
        <v>1337.02</v>
      </c>
      <c r="T64" s="66">
        <v>882.17</v>
      </c>
      <c r="U64" s="124">
        <v>624.92999999999995</v>
      </c>
    </row>
    <row r="65" spans="2:23" x14ac:dyDescent="0.3">
      <c r="B65" s="32" t="s">
        <v>84</v>
      </c>
      <c r="C65" s="82">
        <f>10.53-29.7-253.45</f>
        <v>-272.62</v>
      </c>
      <c r="D65" s="82">
        <f>-3.5-16.6+23.34</f>
        <v>3.2399999999999984</v>
      </c>
      <c r="E65" s="82">
        <f>5.8-0.9-410.4</f>
        <v>-405.5</v>
      </c>
      <c r="F65" s="82">
        <f>-11.41+2.15</f>
        <v>-9.26</v>
      </c>
      <c r="G65" s="48">
        <f>-19.76+9.71-34.36</f>
        <v>-44.41</v>
      </c>
      <c r="H65" s="65">
        <f>-20.27+1.93-246.42</f>
        <v>-264.76</v>
      </c>
      <c r="I65" s="65">
        <f>-62.61+9.11</f>
        <v>-53.5</v>
      </c>
      <c r="J65" s="86">
        <f>-39.5+2.55</f>
        <v>-36.950000000000003</v>
      </c>
      <c r="L65" s="118"/>
      <c r="M65" s="24" t="s">
        <v>40</v>
      </c>
      <c r="N65" s="18">
        <v>1043.8599999999999</v>
      </c>
      <c r="O65" s="18">
        <v>944.83</v>
      </c>
      <c r="P65" s="18">
        <v>773.78</v>
      </c>
      <c r="Q65" s="18">
        <v>702.9</v>
      </c>
      <c r="R65" s="48">
        <v>616.92999999999995</v>
      </c>
      <c r="S65" s="18">
        <v>674.87</v>
      </c>
      <c r="T65" s="66">
        <v>1192.72</v>
      </c>
      <c r="U65" s="124">
        <v>941.14</v>
      </c>
    </row>
    <row r="66" spans="2:23" ht="15" thickBot="1" x14ac:dyDescent="0.35">
      <c r="B66" s="33" t="s">
        <v>85</v>
      </c>
      <c r="C66" s="58">
        <f t="shared" ref="C66:G66" si="40">C64+C65</f>
        <v>-4366.6900000000005</v>
      </c>
      <c r="D66" s="58">
        <f t="shared" si="40"/>
        <v>-423.84999999999997</v>
      </c>
      <c r="E66" s="58">
        <f t="shared" si="40"/>
        <v>635.54999999999995</v>
      </c>
      <c r="F66" s="58">
        <f t="shared" si="40"/>
        <v>-843.12</v>
      </c>
      <c r="G66" s="58">
        <f t="shared" si="40"/>
        <v>-1575.28</v>
      </c>
      <c r="H66" s="67">
        <f>H64+H65</f>
        <v>-1689.24</v>
      </c>
      <c r="I66" s="67">
        <f>I64+I65</f>
        <v>-939.96</v>
      </c>
      <c r="J66" s="140">
        <f>J64+J65</f>
        <v>723.69999999999993</v>
      </c>
      <c r="L66" s="118"/>
      <c r="M66" s="24" t="s">
        <v>138</v>
      </c>
      <c r="N66" s="18">
        <v>579.32000000000005</v>
      </c>
      <c r="O66" s="18">
        <v>125.84</v>
      </c>
      <c r="P66" s="18">
        <v>120.1</v>
      </c>
      <c r="Q66" s="18">
        <v>183.25</v>
      </c>
      <c r="R66" s="48">
        <v>45.72</v>
      </c>
      <c r="S66" s="18">
        <v>0</v>
      </c>
      <c r="T66" s="66">
        <v>0</v>
      </c>
      <c r="U66" s="124">
        <v>0</v>
      </c>
    </row>
    <row r="67" spans="2:23" ht="15" thickBot="1" x14ac:dyDescent="0.35">
      <c r="B67" s="22"/>
      <c r="L67" s="118"/>
      <c r="M67" s="24" t="s">
        <v>139</v>
      </c>
      <c r="N67" s="18">
        <v>96.43</v>
      </c>
      <c r="O67" s="18">
        <v>78.709999999999994</v>
      </c>
      <c r="P67" s="18">
        <v>54.5</v>
      </c>
      <c r="Q67" s="18">
        <v>68.599999999999994</v>
      </c>
      <c r="R67" s="48">
        <v>55.92</v>
      </c>
      <c r="S67" s="18">
        <v>41.31</v>
      </c>
      <c r="T67" s="66">
        <v>62.55</v>
      </c>
      <c r="U67" s="124">
        <v>86.02</v>
      </c>
    </row>
    <row r="68" spans="2:23" ht="15.6" x14ac:dyDescent="0.3">
      <c r="B68" s="40" t="s">
        <v>105</v>
      </c>
      <c r="C68" s="41" t="s">
        <v>1</v>
      </c>
      <c r="D68" s="41" t="s">
        <v>2</v>
      </c>
      <c r="E68" s="41" t="s">
        <v>3</v>
      </c>
      <c r="F68" s="41" t="s">
        <v>4</v>
      </c>
      <c r="G68" s="41" t="s">
        <v>5</v>
      </c>
      <c r="H68" s="61" t="s">
        <v>149</v>
      </c>
      <c r="I68" s="61" t="s">
        <v>150</v>
      </c>
      <c r="J68" s="61" t="s">
        <v>155</v>
      </c>
      <c r="K68" s="61" t="s">
        <v>160</v>
      </c>
      <c r="L68" s="118"/>
      <c r="M68" s="24" t="s">
        <v>140</v>
      </c>
      <c r="N68" s="47">
        <v>3.44</v>
      </c>
      <c r="O68" s="47" t="s">
        <v>123</v>
      </c>
      <c r="P68" s="47" t="s">
        <v>123</v>
      </c>
      <c r="Q68" s="18">
        <v>1</v>
      </c>
      <c r="R68" s="50">
        <v>32.47</v>
      </c>
      <c r="S68" s="50">
        <v>0</v>
      </c>
      <c r="T68" s="135">
        <v>0.24</v>
      </c>
      <c r="U68" s="129"/>
    </row>
    <row r="69" spans="2:23" x14ac:dyDescent="0.3">
      <c r="B69" s="24" t="s">
        <v>108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70">
        <v>156.91619299999999</v>
      </c>
      <c r="I69" s="70">
        <f>156916193/10^6</f>
        <v>156.91619299999999</v>
      </c>
      <c r="J69" s="70">
        <f>156916193/10^6</f>
        <v>156.91619299999999</v>
      </c>
      <c r="K69" s="141">
        <f>156916193/10^6</f>
        <v>156.91619299999999</v>
      </c>
      <c r="L69" s="118"/>
      <c r="M69" s="19" t="s">
        <v>41</v>
      </c>
      <c r="N69" s="43">
        <f t="shared" ref="N69:U69" si="41">SUM(N59:N68)</f>
        <v>9329.9800000000014</v>
      </c>
      <c r="O69" s="43">
        <f t="shared" si="41"/>
        <v>5818.6500000000005</v>
      </c>
      <c r="P69" s="43">
        <f t="shared" si="41"/>
        <v>3299.03</v>
      </c>
      <c r="Q69" s="43">
        <f t="shared" si="41"/>
        <v>4080.7860000000001</v>
      </c>
      <c r="R69" s="43">
        <f t="shared" si="41"/>
        <v>4625.9800000000005</v>
      </c>
      <c r="S69" s="43">
        <f t="shared" si="41"/>
        <v>4358.9500000000007</v>
      </c>
      <c r="T69" s="79">
        <f t="shared" si="41"/>
        <v>4979.8900000000003</v>
      </c>
      <c r="U69" s="126">
        <f t="shared" si="41"/>
        <v>4588.9400000000005</v>
      </c>
    </row>
    <row r="70" spans="2:23" x14ac:dyDescent="0.3">
      <c r="B70" s="24" t="s">
        <v>107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68">
        <v>1</v>
      </c>
      <c r="I70" s="68">
        <v>1</v>
      </c>
      <c r="J70" s="68">
        <v>1</v>
      </c>
      <c r="K70" s="142">
        <v>1</v>
      </c>
      <c r="L70" s="118"/>
      <c r="M70" s="24"/>
      <c r="N70" s="18"/>
      <c r="O70" s="18"/>
      <c r="P70" s="18"/>
      <c r="Q70" s="18"/>
      <c r="R70" s="48"/>
      <c r="S70" s="48"/>
      <c r="T70" s="66"/>
      <c r="U70" s="124"/>
    </row>
    <row r="71" spans="2:23" x14ac:dyDescent="0.3">
      <c r="B71" s="32" t="s">
        <v>106</v>
      </c>
      <c r="C71" s="12">
        <f t="shared" ref="C71:K71" si="42">N78*C69</f>
        <v>0</v>
      </c>
      <c r="D71" s="12">
        <f t="shared" si="42"/>
        <v>0</v>
      </c>
      <c r="E71" s="12">
        <f t="shared" si="42"/>
        <v>0</v>
      </c>
      <c r="F71" s="12">
        <f t="shared" si="42"/>
        <v>0</v>
      </c>
      <c r="G71" s="12">
        <f t="shared" si="42"/>
        <v>0</v>
      </c>
      <c r="H71" s="68">
        <f t="shared" si="42"/>
        <v>22470.398837599998</v>
      </c>
      <c r="I71" s="68">
        <f t="shared" si="42"/>
        <v>13406.919529919998</v>
      </c>
      <c r="J71" s="68">
        <f t="shared" si="42"/>
        <v>14200.915466499999</v>
      </c>
      <c r="K71" s="142">
        <f t="shared" si="42"/>
        <v>17645.225902850001</v>
      </c>
      <c r="L71" s="118"/>
      <c r="M71" s="19" t="s">
        <v>42</v>
      </c>
      <c r="N71" s="43">
        <f t="shared" ref="N71:U71" si="43">N45-N69</f>
        <v>-1050.1800000000003</v>
      </c>
      <c r="O71" s="43">
        <f t="shared" si="43"/>
        <v>-250.95000000000073</v>
      </c>
      <c r="P71" s="43">
        <f t="shared" si="43"/>
        <v>319.13999999999987</v>
      </c>
      <c r="Q71" s="43">
        <f t="shared" si="43"/>
        <v>-235.00600000000031</v>
      </c>
      <c r="R71" s="43">
        <f t="shared" si="43"/>
        <v>433.06999999999971</v>
      </c>
      <c r="S71" s="43">
        <f t="shared" si="43"/>
        <v>5792.5299999999988</v>
      </c>
      <c r="T71" s="79">
        <f>T45-T69</f>
        <v>4612.170000000001</v>
      </c>
      <c r="U71" s="126">
        <f t="shared" si="43"/>
        <v>4949.66</v>
      </c>
    </row>
    <row r="72" spans="2:23" x14ac:dyDescent="0.3">
      <c r="B72" s="32" t="s">
        <v>88</v>
      </c>
      <c r="C72" s="12">
        <f t="shared" ref="C72:H72" si="44">N16</f>
        <v>997.72</v>
      </c>
      <c r="D72" s="12">
        <f t="shared" si="44"/>
        <v>985.45</v>
      </c>
      <c r="E72" s="12">
        <f t="shared" si="44"/>
        <v>131.10999999999999</v>
      </c>
      <c r="F72" s="12">
        <f t="shared" si="44"/>
        <v>358.58</v>
      </c>
      <c r="G72" s="12">
        <f t="shared" si="44"/>
        <v>1530.74</v>
      </c>
      <c r="H72" s="68">
        <f t="shared" si="44"/>
        <v>638.19000000000005</v>
      </c>
      <c r="I72" s="68">
        <f t="shared" ref="I72" si="45">T16</f>
        <v>545.86</v>
      </c>
      <c r="J72" s="68">
        <f>U16</f>
        <v>716.22</v>
      </c>
      <c r="K72" s="142">
        <f>W16</f>
        <v>0</v>
      </c>
      <c r="L72" s="118"/>
      <c r="M72" s="24"/>
      <c r="N72" s="18"/>
      <c r="O72" s="18"/>
      <c r="P72" s="18"/>
      <c r="Q72" s="18"/>
      <c r="R72" s="48"/>
      <c r="S72" s="48"/>
      <c r="T72" s="66"/>
      <c r="U72" s="124"/>
    </row>
    <row r="73" spans="2:23" x14ac:dyDescent="0.3">
      <c r="B73" s="32" t="s">
        <v>89</v>
      </c>
      <c r="C73" s="12">
        <f t="shared" ref="C73:H73" si="46">N41+N42</f>
        <v>2346.6000000000004</v>
      </c>
      <c r="D73" s="12">
        <f t="shared" si="46"/>
        <v>2029.16</v>
      </c>
      <c r="E73" s="12">
        <f t="shared" si="46"/>
        <v>1960.8600000000001</v>
      </c>
      <c r="F73" s="12">
        <f t="shared" si="46"/>
        <v>1279.75</v>
      </c>
      <c r="G73" s="12">
        <f t="shared" si="46"/>
        <v>1022.6999999999999</v>
      </c>
      <c r="H73" s="68">
        <f t="shared" si="46"/>
        <v>4021.47</v>
      </c>
      <c r="I73" s="68">
        <f t="shared" ref="I73" si="47">T41+T42</f>
        <v>986.79</v>
      </c>
      <c r="J73" s="68">
        <f>U41+U42</f>
        <v>913.96</v>
      </c>
      <c r="K73" s="142">
        <f>W41+W42</f>
        <v>0</v>
      </c>
      <c r="L73" s="118"/>
      <c r="M73" s="19" t="s">
        <v>43</v>
      </c>
      <c r="N73" s="43">
        <f t="shared" ref="N73:R73" si="48">N45+N35</f>
        <v>12079.533000000001</v>
      </c>
      <c r="O73" s="43">
        <f t="shared" si="48"/>
        <v>8780.67</v>
      </c>
      <c r="P73" s="43">
        <f t="shared" si="48"/>
        <v>5629.08</v>
      </c>
      <c r="Q73" s="43">
        <f t="shared" si="48"/>
        <v>5477.8600000000006</v>
      </c>
      <c r="R73" s="43">
        <f t="shared" si="48"/>
        <v>6812.52</v>
      </c>
      <c r="S73" s="43">
        <f>S45+S35</f>
        <v>12173.67</v>
      </c>
      <c r="T73" s="79">
        <f>T45+T35</f>
        <v>13232.900000000001</v>
      </c>
      <c r="U73" s="126">
        <f>U45+U35</f>
        <v>13364.32</v>
      </c>
    </row>
    <row r="74" spans="2:23" ht="15" thickBot="1" x14ac:dyDescent="0.35">
      <c r="B74" s="33" t="s">
        <v>90</v>
      </c>
      <c r="C74" s="34">
        <f t="shared" ref="C74" si="49">SUM(C71:C72)-C73</f>
        <v>-1348.8800000000003</v>
      </c>
      <c r="D74" s="34">
        <f t="shared" ref="D74" si="50">SUM(D71:D72)-D73</f>
        <v>-1043.71</v>
      </c>
      <c r="E74" s="34">
        <f t="shared" ref="E74:H74" si="51">SUM(E71:E72)-E73</f>
        <v>-1829.7500000000002</v>
      </c>
      <c r="F74" s="34">
        <f t="shared" si="51"/>
        <v>-921.17000000000007</v>
      </c>
      <c r="G74" s="34">
        <f t="shared" si="51"/>
        <v>508.04000000000008</v>
      </c>
      <c r="H74" s="69">
        <f t="shared" si="51"/>
        <v>19087.118837599995</v>
      </c>
      <c r="I74" s="69">
        <f>SUM(I71:I72)-I73</f>
        <v>12965.98952992</v>
      </c>
      <c r="J74" s="69">
        <f>SUM(J71:J72)-J73</f>
        <v>14003.175466499997</v>
      </c>
      <c r="K74" s="143" t="s">
        <v>123</v>
      </c>
      <c r="L74" s="118"/>
      <c r="M74" s="19" t="s">
        <v>44</v>
      </c>
      <c r="N74" s="43">
        <f t="shared" ref="N74:R74" si="52">N56+N69</f>
        <v>9739.0500000000011</v>
      </c>
      <c r="O74" s="43">
        <f t="shared" si="52"/>
        <v>6656.35</v>
      </c>
      <c r="P74" s="43">
        <f t="shared" si="52"/>
        <v>4394.22</v>
      </c>
      <c r="Q74" s="43">
        <f t="shared" si="52"/>
        <v>4468.5360000000001</v>
      </c>
      <c r="R74" s="43">
        <f t="shared" si="52"/>
        <v>5117.2400000000007</v>
      </c>
      <c r="S74" s="43">
        <f>S56+S69</f>
        <v>4698.5500000000011</v>
      </c>
      <c r="T74" s="79">
        <f>T56+T69</f>
        <v>5395.26</v>
      </c>
      <c r="U74" s="126">
        <f>U56+U69</f>
        <v>5062.2100000000009</v>
      </c>
      <c r="W74" s="14"/>
    </row>
    <row r="75" spans="2:23" ht="15" thickBot="1" x14ac:dyDescent="0.35">
      <c r="L75" s="118"/>
      <c r="M75" s="59" t="s">
        <v>45</v>
      </c>
      <c r="N75" s="60">
        <f t="shared" ref="N75:U75" si="53">N74+N10</f>
        <v>12079.54</v>
      </c>
      <c r="O75" s="60">
        <f t="shared" si="53"/>
        <v>8780.67</v>
      </c>
      <c r="P75" s="60">
        <f t="shared" si="53"/>
        <v>5629.08</v>
      </c>
      <c r="Q75" s="60">
        <f t="shared" si="53"/>
        <v>5477.8159999999989</v>
      </c>
      <c r="R75" s="60">
        <f t="shared" si="53"/>
        <v>6812.48</v>
      </c>
      <c r="S75" s="60">
        <f t="shared" si="53"/>
        <v>12173.669999999998</v>
      </c>
      <c r="T75" s="136">
        <f t="shared" si="53"/>
        <v>13232.899999999998</v>
      </c>
      <c r="U75" s="131">
        <f t="shared" si="53"/>
        <v>13364.32</v>
      </c>
      <c r="W75" s="14"/>
    </row>
    <row r="76" spans="2:23" ht="15" thickBot="1" x14ac:dyDescent="0.35">
      <c r="L76" s="118"/>
      <c r="M76" s="22"/>
      <c r="O76" s="5"/>
      <c r="P76" s="5"/>
      <c r="Q76" s="5"/>
      <c r="R76" s="5"/>
      <c r="S76" s="146"/>
      <c r="T76" s="147"/>
      <c r="U76" s="13"/>
      <c r="V76" s="13"/>
      <c r="W76" s="15"/>
    </row>
    <row r="77" spans="2:23" ht="15.6" x14ac:dyDescent="0.3">
      <c r="L77" s="118"/>
      <c r="M77" s="40" t="s">
        <v>114</v>
      </c>
      <c r="N77" s="41" t="s">
        <v>1</v>
      </c>
      <c r="O77" s="41" t="s">
        <v>2</v>
      </c>
      <c r="P77" s="41" t="s">
        <v>3</v>
      </c>
      <c r="Q77" s="41" t="s">
        <v>4</v>
      </c>
      <c r="R77" s="41" t="s">
        <v>5</v>
      </c>
      <c r="S77" s="61" t="s">
        <v>149</v>
      </c>
      <c r="T77" s="61" t="s">
        <v>150</v>
      </c>
      <c r="U77" s="41" t="s">
        <v>155</v>
      </c>
      <c r="V77" s="42" t="s">
        <v>160</v>
      </c>
      <c r="W77" s="13"/>
    </row>
    <row r="78" spans="2:23" x14ac:dyDescent="0.3">
      <c r="L78" s="118"/>
      <c r="M78" s="24" t="s">
        <v>112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71">
        <v>143.19999999999999</v>
      </c>
      <c r="T78" s="71">
        <v>85.44</v>
      </c>
      <c r="U78" s="39">
        <v>90.5</v>
      </c>
      <c r="V78" s="108">
        <v>112.45</v>
      </c>
      <c r="W78" s="14"/>
    </row>
    <row r="79" spans="2:23" x14ac:dyDescent="0.3">
      <c r="L79" s="118"/>
      <c r="M79" s="35" t="s">
        <v>111</v>
      </c>
      <c r="N79" s="8">
        <f t="shared" ref="N79:S79" si="54">C50</f>
        <v>-23.07</v>
      </c>
      <c r="O79" s="8">
        <f t="shared" si="54"/>
        <v>-6.62</v>
      </c>
      <c r="P79" s="8">
        <f t="shared" si="54"/>
        <v>-11.08</v>
      </c>
      <c r="Q79" s="8">
        <f t="shared" si="54"/>
        <v>-2.76</v>
      </c>
      <c r="R79" s="8">
        <f t="shared" si="54"/>
        <v>0.69</v>
      </c>
      <c r="S79" s="63">
        <f t="shared" si="54"/>
        <v>-0.33</v>
      </c>
      <c r="T79" s="63">
        <v>2.33</v>
      </c>
      <c r="U79" s="17">
        <f>J50</f>
        <v>2.98</v>
      </c>
      <c r="V79" s="109">
        <f>+U79+K49-1.02</f>
        <v>1.98</v>
      </c>
      <c r="W79" s="14"/>
    </row>
    <row r="80" spans="2:23" x14ac:dyDescent="0.3">
      <c r="L80" s="118"/>
      <c r="M80" s="35" t="s">
        <v>109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63">
        <f>S12/H69</f>
        <v>47.63765840278829</v>
      </c>
      <c r="T80" s="63">
        <f>T12/I69</f>
        <v>49.947936220960969</v>
      </c>
      <c r="U80" s="8">
        <f>U12/J69</f>
        <v>52.907923913244566</v>
      </c>
      <c r="V80" s="148">
        <f>V12/K69</f>
        <v>0</v>
      </c>
      <c r="W80" s="14"/>
    </row>
    <row r="81" spans="12:23" x14ac:dyDescent="0.3">
      <c r="L81" s="118"/>
      <c r="M81" s="35" t="s">
        <v>110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72" t="s">
        <v>147</v>
      </c>
      <c r="T81" s="72" t="s">
        <v>147</v>
      </c>
      <c r="U81" s="17" t="s">
        <v>147</v>
      </c>
      <c r="V81" s="109" t="s">
        <v>147</v>
      </c>
      <c r="W81" s="14"/>
    </row>
    <row r="82" spans="12:23" x14ac:dyDescent="0.3">
      <c r="L82" s="118"/>
      <c r="M82" s="35" t="s">
        <v>91</v>
      </c>
      <c r="N82" s="8">
        <f>N78/N79</f>
        <v>0</v>
      </c>
      <c r="O82" s="8">
        <f t="shared" ref="O82:R82" si="55">O78/O79</f>
        <v>0</v>
      </c>
      <c r="P82" s="8">
        <f t="shared" si="55"/>
        <v>0</v>
      </c>
      <c r="Q82" s="8">
        <f t="shared" si="55"/>
        <v>0</v>
      </c>
      <c r="R82" s="8">
        <f t="shared" si="55"/>
        <v>0</v>
      </c>
      <c r="S82" s="73" t="s">
        <v>147</v>
      </c>
      <c r="T82" s="72">
        <f>T78/T79</f>
        <v>36.669527896995703</v>
      </c>
      <c r="U82" s="17">
        <f>U78/U79</f>
        <v>30.369127516778523</v>
      </c>
      <c r="V82" s="109">
        <f>+V78/V79</f>
        <v>56.792929292929294</v>
      </c>
      <c r="W82" s="14"/>
    </row>
    <row r="83" spans="12:23" x14ac:dyDescent="0.3">
      <c r="L83" s="118"/>
      <c r="M83" s="35" t="s">
        <v>92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63">
        <f>S78/S80</f>
        <v>3.0060251658301138</v>
      </c>
      <c r="T83" s="72">
        <f>T78/T80</f>
        <v>1.7105811864183602</v>
      </c>
      <c r="U83" s="17">
        <f>U78/U80</f>
        <v>1.7105188279244674</v>
      </c>
      <c r="V83" s="109" t="s">
        <v>147</v>
      </c>
      <c r="W83" s="14"/>
    </row>
    <row r="84" spans="12:23" x14ac:dyDescent="0.3">
      <c r="L84" s="118"/>
      <c r="M84" s="35" t="s">
        <v>93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74">
        <f>H74/H15</f>
        <v>129.72961896010398</v>
      </c>
      <c r="T84" s="74">
        <f>I74/I15</f>
        <v>29.19150219492542</v>
      </c>
      <c r="U84" s="144">
        <f>J74/J15</f>
        <v>17.425988036660939</v>
      </c>
      <c r="V84" s="109" t="s">
        <v>147</v>
      </c>
      <c r="W84" s="14"/>
    </row>
    <row r="85" spans="12:23" x14ac:dyDescent="0.3">
      <c r="L85" s="118"/>
      <c r="M85" s="35" t="s">
        <v>113</v>
      </c>
      <c r="N85" s="8">
        <v>0</v>
      </c>
      <c r="O85" s="8">
        <f t="shared" ref="O85:V85" si="56">D4/AVERAGE(N75:O75)</f>
        <v>0.64556684712186507</v>
      </c>
      <c r="P85" s="8">
        <f t="shared" si="56"/>
        <v>0.17411821856728951</v>
      </c>
      <c r="Q85" s="8">
        <f t="shared" si="56"/>
        <v>0.35665410029948968</v>
      </c>
      <c r="R85" s="8">
        <f t="shared" si="56"/>
        <v>0.61863278150501833</v>
      </c>
      <c r="S85" s="63">
        <f t="shared" si="56"/>
        <v>0.44487481664265793</v>
      </c>
      <c r="T85" s="63">
        <f t="shared" si="56"/>
        <v>0.62302152553453705</v>
      </c>
      <c r="U85" s="8">
        <f t="shared" si="56"/>
        <v>0.75685353582066106</v>
      </c>
      <c r="V85" s="109" t="s">
        <v>147</v>
      </c>
      <c r="W85" s="14"/>
    </row>
    <row r="86" spans="12:23" x14ac:dyDescent="0.3">
      <c r="L86" s="118"/>
      <c r="M86" s="35" t="s">
        <v>94</v>
      </c>
      <c r="N86" s="16">
        <f t="shared" ref="N86:V86" si="57">C36/N12</f>
        <v>-0.90793225159080426</v>
      </c>
      <c r="O86" s="16">
        <f t="shared" si="57"/>
        <v>-0.32885817579272431</v>
      </c>
      <c r="P86" s="16">
        <f t="shared" si="57"/>
        <v>-0.96256255769884858</v>
      </c>
      <c r="Q86" s="16">
        <f t="shared" si="57"/>
        <v>-0.30501603053132542</v>
      </c>
      <c r="R86" s="16">
        <f t="shared" si="57"/>
        <v>4.504270680949482E-2</v>
      </c>
      <c r="S86" s="75">
        <f t="shared" si="57"/>
        <v>-6.0266591038004511E-3</v>
      </c>
      <c r="T86" s="75">
        <f t="shared" si="57"/>
        <v>4.6664557188133032E-2</v>
      </c>
      <c r="U86" s="16">
        <f t="shared" si="57"/>
        <v>5.6383256786527759E-2</v>
      </c>
      <c r="V86" s="109" t="s">
        <v>147</v>
      </c>
      <c r="W86" s="14"/>
    </row>
    <row r="87" spans="12:23" x14ac:dyDescent="0.3">
      <c r="L87" s="118"/>
      <c r="M87" s="35" t="s">
        <v>95</v>
      </c>
      <c r="N87" s="75">
        <f t="shared" ref="N87:V87" si="58">(C22+C21)/N18</f>
        <v>-0.56809906407728983</v>
      </c>
      <c r="O87" s="75">
        <f t="shared" si="58"/>
        <v>1.7271373767191827E-2</v>
      </c>
      <c r="P87" s="75">
        <f t="shared" si="58"/>
        <v>-0.41407937216776364</v>
      </c>
      <c r="Q87" s="75">
        <f t="shared" si="58"/>
        <v>-0.11856095164572929</v>
      </c>
      <c r="R87" s="75">
        <f t="shared" si="58"/>
        <v>0.1106347759778304</v>
      </c>
      <c r="S87" s="75">
        <f t="shared" si="58"/>
        <v>2.5856278140487569E-2</v>
      </c>
      <c r="T87" s="75">
        <f t="shared" si="58"/>
        <v>5.410389455478011E-2</v>
      </c>
      <c r="U87" s="16">
        <f t="shared" si="58"/>
        <v>7.205546924985004E-2</v>
      </c>
      <c r="V87" s="109" t="s">
        <v>147</v>
      </c>
      <c r="W87" s="14"/>
    </row>
    <row r="88" spans="12:23" x14ac:dyDescent="0.3">
      <c r="L88" s="118"/>
      <c r="M88" s="35" t="s">
        <v>96</v>
      </c>
      <c r="N88" s="8">
        <f t="shared" ref="N88:U88" si="59">N16/N12</f>
        <v>0.42628807814455399</v>
      </c>
      <c r="O88" s="8">
        <f t="shared" si="59"/>
        <v>0.46388962114935611</v>
      </c>
      <c r="P88" s="8">
        <f t="shared" si="59"/>
        <v>0.10617397923651264</v>
      </c>
      <c r="Q88" s="8">
        <f t="shared" si="59"/>
        <v>0.35526748596090035</v>
      </c>
      <c r="R88" s="8">
        <f t="shared" si="59"/>
        <v>0.90294228681987643</v>
      </c>
      <c r="S88" s="63">
        <f t="shared" si="59"/>
        <v>8.5375218056700106E-2</v>
      </c>
      <c r="T88" s="63">
        <f t="shared" si="59"/>
        <v>6.9645964856768092E-2</v>
      </c>
      <c r="U88" s="8">
        <f t="shared" si="59"/>
        <v>8.6269635068675327E-2</v>
      </c>
      <c r="V88" s="109" t="s">
        <v>147</v>
      </c>
      <c r="W88" s="14"/>
    </row>
    <row r="89" spans="12:23" x14ac:dyDescent="0.3">
      <c r="L89" s="118"/>
      <c r="M89" s="35" t="s">
        <v>97</v>
      </c>
      <c r="N89" s="8">
        <f t="shared" ref="N89:V89" si="60">(N16 -C73)/N12</f>
        <v>-0.5763254849533197</v>
      </c>
      <c r="O89" s="8">
        <f t="shared" si="60"/>
        <v>-0.49131486781652489</v>
      </c>
      <c r="P89" s="8">
        <f t="shared" si="60"/>
        <v>-1.4817469186790408</v>
      </c>
      <c r="Q89" s="8">
        <f t="shared" si="60"/>
        <v>-0.91266035485136543</v>
      </c>
      <c r="R89" s="8">
        <f t="shared" si="60"/>
        <v>0.29967910905573125</v>
      </c>
      <c r="S89" s="63">
        <f t="shared" si="60"/>
        <v>-0.45260544312332113</v>
      </c>
      <c r="T89" s="63">
        <f t="shared" si="60"/>
        <v>-5.6258006236571192E-2</v>
      </c>
      <c r="U89" s="8">
        <f t="shared" si="60"/>
        <v>-2.3818041437658623E-2</v>
      </c>
      <c r="V89" s="109" t="s">
        <v>147</v>
      </c>
      <c r="W89" s="14"/>
    </row>
    <row r="90" spans="12:23" x14ac:dyDescent="0.3">
      <c r="L90" s="118"/>
      <c r="M90" s="35" t="s">
        <v>98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72" t="s">
        <v>147</v>
      </c>
      <c r="T90" s="72" t="s">
        <v>147</v>
      </c>
      <c r="U90" s="17" t="s">
        <v>147</v>
      </c>
      <c r="V90" s="109" t="s">
        <v>147</v>
      </c>
      <c r="W90" s="14"/>
    </row>
    <row r="91" spans="12:23" x14ac:dyDescent="0.3">
      <c r="L91" s="118"/>
      <c r="M91" s="35" t="s">
        <v>104</v>
      </c>
      <c r="N91" s="76">
        <f t="shared" ref="N91:V91" si="61">(C22+C21)/C21</f>
        <v>-11.673930440135432</v>
      </c>
      <c r="O91" s="76">
        <f t="shared" si="61"/>
        <v>0.29718364410999903</v>
      </c>
      <c r="P91" s="76">
        <f t="shared" si="61"/>
        <v>-5.5230934479054783</v>
      </c>
      <c r="Q91" s="76">
        <f t="shared" si="61"/>
        <v>-1.6306052684496253</v>
      </c>
      <c r="R91" s="76">
        <f t="shared" si="61"/>
        <v>1.5246699987184433</v>
      </c>
      <c r="S91" s="76">
        <f t="shared" si="61"/>
        <v>0.94177328843995145</v>
      </c>
      <c r="T91" s="76">
        <f t="shared" si="61"/>
        <v>4.4333887205551665</v>
      </c>
      <c r="U91" s="144">
        <f t="shared" si="61"/>
        <v>5.177436060871643</v>
      </c>
      <c r="V91" s="109" t="s">
        <v>147</v>
      </c>
      <c r="W91" s="14"/>
    </row>
    <row r="92" spans="12:23" x14ac:dyDescent="0.3">
      <c r="L92" s="118"/>
      <c r="M92" s="35" t="s">
        <v>99</v>
      </c>
      <c r="N92" s="8">
        <f t="shared" ref="N92:V92" si="62">AVERAGE(M40:N40)/C4*365</f>
        <v>209.27734805060126</v>
      </c>
      <c r="O92" s="8">
        <f t="shared" si="62"/>
        <v>197.58986638112199</v>
      </c>
      <c r="P92" s="8">
        <f t="shared" si="62"/>
        <v>497.73983658828217</v>
      </c>
      <c r="Q92" s="8">
        <f t="shared" si="62"/>
        <v>268.58181111346727</v>
      </c>
      <c r="R92" s="8">
        <f t="shared" si="62"/>
        <v>223.24672702737539</v>
      </c>
      <c r="S92" s="63">
        <f t="shared" si="62"/>
        <v>311.65266277233303</v>
      </c>
      <c r="T92" s="63">
        <f t="shared" si="62"/>
        <v>229.5469440590719</v>
      </c>
      <c r="U92" s="8">
        <f t="shared" si="62"/>
        <v>195.93777756803209</v>
      </c>
      <c r="V92" s="109" t="s">
        <v>147</v>
      </c>
    </row>
    <row r="93" spans="12:23" x14ac:dyDescent="0.3">
      <c r="L93" s="118"/>
      <c r="M93" s="35" t="s">
        <v>100</v>
      </c>
      <c r="N93" s="8">
        <f t="shared" ref="N93:V93" si="63">(AVERAGE(SUM(M62:M63),SUM(N62:N63))/C13)*365</f>
        <v>74.333360779419493</v>
      </c>
      <c r="O93" s="8">
        <f t="shared" si="63"/>
        <v>150.89542094438428</v>
      </c>
      <c r="P93" s="8">
        <f t="shared" si="63"/>
        <v>212.14142971879915</v>
      </c>
      <c r="Q93" s="8">
        <f t="shared" si="63"/>
        <v>184.37734208528252</v>
      </c>
      <c r="R93" s="8">
        <f t="shared" si="63"/>
        <v>135.35280449654064</v>
      </c>
      <c r="S93" s="63">
        <f t="shared" si="63"/>
        <v>126.49213800804326</v>
      </c>
      <c r="T93" s="63">
        <f t="shared" si="63"/>
        <v>92.534441588233648</v>
      </c>
      <c r="U93" s="8">
        <f t="shared" si="63"/>
        <v>82.194686345809004</v>
      </c>
      <c r="V93" s="109" t="s">
        <v>147</v>
      </c>
      <c r="W93" s="13"/>
    </row>
    <row r="94" spans="12:23" x14ac:dyDescent="0.3">
      <c r="L94" s="118"/>
      <c r="M94" s="35" t="s">
        <v>101</v>
      </c>
      <c r="N94" s="17">
        <v>0</v>
      </c>
      <c r="O94" s="8">
        <v>0</v>
      </c>
      <c r="P94" s="8">
        <v>0</v>
      </c>
      <c r="Q94" s="8">
        <v>0</v>
      </c>
      <c r="R94" s="8">
        <v>0</v>
      </c>
      <c r="S94" s="63">
        <v>0</v>
      </c>
      <c r="T94" s="63">
        <v>0</v>
      </c>
      <c r="U94" s="145"/>
      <c r="V94" s="109" t="s">
        <v>147</v>
      </c>
    </row>
    <row r="95" spans="12:23" x14ac:dyDescent="0.3">
      <c r="L95" s="118"/>
      <c r="M95" s="35" t="s">
        <v>102</v>
      </c>
      <c r="N95" s="8">
        <f t="shared" ref="N95:R95" si="64">N94+N92-N93</f>
        <v>134.94398727118175</v>
      </c>
      <c r="O95" s="8">
        <f t="shared" si="64"/>
        <v>46.694445436737709</v>
      </c>
      <c r="P95" s="8">
        <f t="shared" si="64"/>
        <v>285.59840686948303</v>
      </c>
      <c r="Q95" s="8">
        <f t="shared" si="64"/>
        <v>84.204469028184747</v>
      </c>
      <c r="R95" s="8">
        <f t="shared" si="64"/>
        <v>87.893922530834743</v>
      </c>
      <c r="S95" s="63">
        <f t="shared" ref="S95" si="65">S94+S92-S93</f>
        <v>185.16052476428979</v>
      </c>
      <c r="T95" s="63">
        <f>T94+T92-T93</f>
        <v>137.01250247083826</v>
      </c>
      <c r="U95" s="8">
        <f>U94+U92-U93</f>
        <v>113.74309122222309</v>
      </c>
      <c r="V95" s="109" t="s">
        <v>147</v>
      </c>
    </row>
    <row r="96" spans="12:23" x14ac:dyDescent="0.3">
      <c r="L96" s="118"/>
      <c r="M96" s="35" t="s">
        <v>103</v>
      </c>
      <c r="N96" s="8">
        <f t="shared" ref="N96:V96" si="66">(AVERAGE(M71:N71)/C4)*365</f>
        <v>-45.377733739620865</v>
      </c>
      <c r="O96" s="8">
        <f t="shared" si="66"/>
        <v>-35.26579344841263</v>
      </c>
      <c r="P96" s="8">
        <f t="shared" si="66"/>
        <v>9.9200278995614539</v>
      </c>
      <c r="Q96" s="8">
        <f t="shared" si="66"/>
        <v>7.7521911887956128</v>
      </c>
      <c r="R96" s="8">
        <f t="shared" si="66"/>
        <v>9.5083057352318079</v>
      </c>
      <c r="S96" s="8">
        <f t="shared" si="66"/>
        <v>269.0291554094851</v>
      </c>
      <c r="T96" s="63">
        <f t="shared" si="66"/>
        <v>239.92380363943283</v>
      </c>
      <c r="U96" s="8">
        <f t="shared" si="66"/>
        <v>173.37472802058602</v>
      </c>
      <c r="V96" s="109" t="s">
        <v>147</v>
      </c>
    </row>
    <row r="97" spans="12:22" x14ac:dyDescent="0.3">
      <c r="L97" s="118"/>
      <c r="M97" s="35" t="s">
        <v>153</v>
      </c>
      <c r="N97" s="8">
        <f t="shared" ref="N97:S97" si="67">N45/N69</f>
        <v>0.88744027318386531</v>
      </c>
      <c r="O97" s="8">
        <f t="shared" si="67"/>
        <v>0.95687143925137264</v>
      </c>
      <c r="P97" s="8">
        <f t="shared" si="67"/>
        <v>1.0967375258788188</v>
      </c>
      <c r="Q97" s="8">
        <f t="shared" si="67"/>
        <v>0.94241158443495932</v>
      </c>
      <c r="R97" s="8">
        <f t="shared" si="67"/>
        <v>1.0936169200904455</v>
      </c>
      <c r="S97" s="8">
        <f t="shared" si="67"/>
        <v>2.3288819555168097</v>
      </c>
      <c r="T97" s="63">
        <f>T45/T69</f>
        <v>1.9261590115444318</v>
      </c>
      <c r="U97" s="8">
        <f>U45/U69</f>
        <v>2.078606388403422</v>
      </c>
      <c r="V97" s="109" t="s">
        <v>147</v>
      </c>
    </row>
    <row r="98" spans="12:22" ht="15" thickBot="1" x14ac:dyDescent="0.35">
      <c r="L98" s="118"/>
      <c r="M98" s="36" t="s">
        <v>154</v>
      </c>
      <c r="N98" s="37">
        <f t="shared" ref="N98:V98" si="68">C4/AVERAGE(M40:N40)</f>
        <v>1.7440970243551943</v>
      </c>
      <c r="O98" s="37">
        <f t="shared" si="68"/>
        <v>1.847260725891521</v>
      </c>
      <c r="P98" s="37">
        <f t="shared" si="68"/>
        <v>0.73331482266290615</v>
      </c>
      <c r="Q98" s="37">
        <f t="shared" si="68"/>
        <v>1.3589900168101823</v>
      </c>
      <c r="R98" s="37">
        <f t="shared" si="68"/>
        <v>1.6349623793375583</v>
      </c>
      <c r="S98" s="37">
        <f t="shared" si="68"/>
        <v>1.1711756182447188</v>
      </c>
      <c r="T98" s="99">
        <f t="shared" si="68"/>
        <v>1.5900886918628307</v>
      </c>
      <c r="U98" s="37">
        <f t="shared" si="68"/>
        <v>1.8628362765483923</v>
      </c>
      <c r="V98" s="149" t="s">
        <v>147</v>
      </c>
    </row>
  </sheetData>
  <mergeCells count="4">
    <mergeCell ref="B1:U1"/>
    <mergeCell ref="B2:K2"/>
    <mergeCell ref="M2:U2"/>
    <mergeCell ref="L2:L98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9:E59 O92:S93 T92:T93 O98:T9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2024-02-23T12:52:55Z</cp:lastPrinted>
  <dcterms:created xsi:type="dcterms:W3CDTF">2023-11-23T05:15:14Z</dcterms:created>
  <dcterms:modified xsi:type="dcterms:W3CDTF">2026-08-20T07:05:22Z</dcterms:modified>
</cp:coreProperties>
</file>