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Harshit\Onemi Technology Solutions Ltd\Summary Sheet\Q1-FY27\"/>
    </mc:Choice>
  </mc:AlternateContent>
  <xr:revisionPtr revIDLastSave="0" documentId="8_{7C6F89A1-E28C-407E-BE69-718FAF0D10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idated" sheetId="1" r:id="rId1"/>
  </sheets>
  <definedNames>
    <definedName name="_xlnm.Print_Area" localSheetId="0">Consolidated!$A$1:$H$85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6" i="1" l="1"/>
  <c r="M62" i="1"/>
  <c r="M58" i="1"/>
  <c r="M57" i="1"/>
  <c r="M56" i="1"/>
  <c r="M54" i="1"/>
  <c r="F49" i="1" l="1"/>
  <c r="F48" i="1"/>
  <c r="F51" i="1" s="1"/>
  <c r="F26" i="1"/>
  <c r="F24" i="1"/>
  <c r="F23" i="1"/>
  <c r="F22" i="1"/>
  <c r="F20" i="1"/>
  <c r="F17" i="1"/>
  <c r="F14" i="1"/>
  <c r="L60" i="1"/>
  <c r="F7" i="1" l="1"/>
  <c r="F10" i="1"/>
  <c r="E49" i="1"/>
  <c r="B7" i="1" l="1"/>
  <c r="C7" i="1"/>
  <c r="D8" i="1" s="1"/>
  <c r="D7" i="1"/>
  <c r="E7" i="1"/>
  <c r="K9" i="1" l="1"/>
  <c r="K36" i="1"/>
  <c r="K28" i="1" s="1"/>
  <c r="K47" i="1" s="1"/>
  <c r="L9" i="1"/>
  <c r="B44" i="1"/>
  <c r="B49" i="1"/>
  <c r="C49" i="1"/>
  <c r="D48" i="1"/>
  <c r="C48" i="1"/>
  <c r="B48" i="1"/>
  <c r="I42" i="1"/>
  <c r="I37" i="1" s="1"/>
  <c r="I8" i="1"/>
  <c r="J8" i="1"/>
  <c r="J42" i="1"/>
  <c r="J37" i="1" s="1"/>
  <c r="J9" i="1"/>
  <c r="I9" i="1"/>
  <c r="D44" i="1"/>
  <c r="E44" i="1"/>
  <c r="D39" i="1"/>
  <c r="E39" i="1"/>
  <c r="E30" i="1"/>
  <c r="E50" i="1"/>
  <c r="D49" i="1"/>
  <c r="K8" i="1"/>
  <c r="K62" i="1" s="1"/>
  <c r="L17" i="1"/>
  <c r="K17" i="1"/>
  <c r="K42" i="1"/>
  <c r="K37" i="1" s="1"/>
  <c r="L42" i="1"/>
  <c r="L37" i="1" s="1"/>
  <c r="E31" i="1"/>
  <c r="L8" i="1"/>
  <c r="L62" i="1" s="1"/>
  <c r="B10" i="1"/>
  <c r="B14" i="1" s="1"/>
  <c r="I66" i="1" s="1"/>
  <c r="C10" i="1"/>
  <c r="C14" i="1" s="1"/>
  <c r="C20" i="1" s="1"/>
  <c r="C23" i="1" s="1"/>
  <c r="D10" i="1"/>
  <c r="D14" i="1" s="1"/>
  <c r="D17" i="1" s="1"/>
  <c r="E10" i="1"/>
  <c r="E14" i="1" s="1"/>
  <c r="J17" i="1"/>
  <c r="I28" i="1"/>
  <c r="J28" i="1"/>
  <c r="J47" i="1" s="1"/>
  <c r="C30" i="1"/>
  <c r="D30" i="1"/>
  <c r="B39" i="1"/>
  <c r="C39" i="1"/>
  <c r="B43" i="1"/>
  <c r="C43" i="1"/>
  <c r="D43" i="1"/>
  <c r="E43" i="1"/>
  <c r="E45" i="1" s="1"/>
  <c r="C44" i="1"/>
  <c r="E48" i="1"/>
  <c r="B50" i="1"/>
  <c r="C50" i="1"/>
  <c r="D50" i="1"/>
  <c r="L54" i="1"/>
  <c r="E51" i="1" l="1"/>
  <c r="J66" i="1"/>
  <c r="J48" i="1"/>
  <c r="C51" i="1"/>
  <c r="B51" i="1"/>
  <c r="I48" i="1"/>
  <c r="K16" i="1"/>
  <c r="K60" i="1" s="1"/>
  <c r="K48" i="1"/>
  <c r="C26" i="1"/>
  <c r="L55" i="1"/>
  <c r="L61" i="1"/>
  <c r="K61" i="1"/>
  <c r="D40" i="1"/>
  <c r="E35" i="1" s="1"/>
  <c r="E40" i="1" s="1"/>
  <c r="L48" i="1"/>
  <c r="B40" i="1"/>
  <c r="C35" i="1" s="1"/>
  <c r="C40" i="1" s="1"/>
  <c r="D35" i="1" s="1"/>
  <c r="L28" i="1"/>
  <c r="D45" i="1"/>
  <c r="E8" i="1"/>
  <c r="E16" i="1"/>
  <c r="E15" i="1"/>
  <c r="D15" i="1"/>
  <c r="B45" i="1"/>
  <c r="C45" i="1"/>
  <c r="I47" i="1"/>
  <c r="I16" i="1" s="1"/>
  <c r="I60" i="1" s="1"/>
  <c r="B20" i="1"/>
  <c r="B22" i="1" s="1"/>
  <c r="B17" i="1"/>
  <c r="C15" i="1"/>
  <c r="D51" i="1"/>
  <c r="E9" i="1"/>
  <c r="J16" i="1"/>
  <c r="J60" i="1" s="1"/>
  <c r="C17" i="1"/>
  <c r="D20" i="1"/>
  <c r="C24" i="1"/>
  <c r="E20" i="1"/>
  <c r="E17" i="1"/>
  <c r="C22" i="1"/>
  <c r="C8" i="1"/>
  <c r="I17" i="1"/>
  <c r="L56" i="1"/>
  <c r="L47" i="1" l="1"/>
  <c r="L16" i="1" s="1"/>
  <c r="E22" i="1"/>
  <c r="E23" i="1"/>
  <c r="B23" i="1"/>
  <c r="I59" i="1" s="1"/>
  <c r="D23" i="1"/>
  <c r="D22" i="1"/>
  <c r="L66" i="1"/>
  <c r="L57" i="1"/>
  <c r="L58" i="1"/>
  <c r="E26" i="1" l="1"/>
  <c r="E28" i="1"/>
  <c r="E27" i="1"/>
  <c r="D26" i="1"/>
  <c r="D27" i="1"/>
  <c r="B24" i="1"/>
  <c r="B26" i="1"/>
  <c r="C27" i="1"/>
  <c r="E24" i="1"/>
  <c r="D24" i="1"/>
  <c r="J61" i="1"/>
  <c r="J62" i="1"/>
  <c r="L59" i="1"/>
  <c r="K55" i="1"/>
  <c r="K57" i="1" s="1"/>
  <c r="K54" i="1"/>
  <c r="K56" i="1" s="1"/>
  <c r="K66" i="1"/>
  <c r="K58" i="1" l="1"/>
  <c r="J54" i="1" l="1"/>
  <c r="J56" i="1" s="1"/>
  <c r="K59" i="1" l="1"/>
  <c r="J58" i="1"/>
  <c r="J55" i="1" l="1"/>
  <c r="J57" i="1" s="1"/>
  <c r="I54" i="1" l="1"/>
  <c r="I56" i="1" s="1"/>
  <c r="I61" i="1" l="1"/>
  <c r="I62" i="1"/>
  <c r="I55" i="1"/>
  <c r="I57" i="1" s="1"/>
  <c r="J59" i="1"/>
  <c r="I58" i="1" l="1"/>
</calcChain>
</file>

<file path=xl/sharedStrings.xml><?xml version="1.0" encoding="utf-8"?>
<sst xmlns="http://schemas.openxmlformats.org/spreadsheetml/2006/main" count="144" uniqueCount="109">
  <si>
    <t>Income Statement</t>
  </si>
  <si>
    <t>Balance Sheet</t>
  </si>
  <si>
    <t>Y/E, Mar (Rs. mn)</t>
  </si>
  <si>
    <t>Income</t>
  </si>
  <si>
    <t>Share Capital</t>
  </si>
  <si>
    <t>Other Income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</si>
  <si>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</si>
  <si>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</si>
  <si>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</si>
  <si>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</si>
  <si>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</si>
  <si>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</si>
  <si>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</si>
  <si>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Employee benefit expenses</t>
  </si>
  <si>
    <t>Capital Employed</t>
  </si>
  <si>
    <t>EBITDA</t>
  </si>
  <si>
    <t>EBITDA margin (%)</t>
  </si>
  <si>
    <t>Depreciation</t>
  </si>
  <si>
    <t>Interest</t>
  </si>
  <si>
    <t>Right of use assets</t>
  </si>
  <si>
    <t>Other Intangible Assets</t>
  </si>
  <si>
    <t>PBT</t>
  </si>
  <si>
    <t>Deffered Tax (Net)</t>
  </si>
  <si>
    <t>Tax</t>
  </si>
  <si>
    <t>Effective tax rate (%)</t>
  </si>
  <si>
    <t>PAT</t>
  </si>
  <si>
    <t>PAT margin (%)</t>
  </si>
  <si>
    <t>Other Comprehensive Income</t>
  </si>
  <si>
    <t>CURRENT ASSETS, LOANS &amp; ADVANCES</t>
  </si>
  <si>
    <t>EPS</t>
  </si>
  <si>
    <t>CAGR (%)</t>
  </si>
  <si>
    <t>Other current assets</t>
  </si>
  <si>
    <t>Cash Flow</t>
  </si>
  <si>
    <t>Cash and Cash Equivalents at Beginning of the year</t>
  </si>
  <si>
    <t>Cash Flow From Operating Activities</t>
  </si>
  <si>
    <t>Cash Flow from Investing Activities</t>
  </si>
  <si>
    <t>Other Current Liabilities</t>
  </si>
  <si>
    <t>Cash Flow From Financing Activities</t>
  </si>
  <si>
    <t>Net Inc./(Dec.) in Cash and Cash Equivalent</t>
  </si>
  <si>
    <t>Cash and Cash Equivalents at End of the year</t>
  </si>
  <si>
    <t>Our Calculations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</si>
  <si>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</si>
  <si>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</si>
  <si>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</si>
  <si>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</si>
  <si>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</si>
  <si>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</si>
  <si>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</si>
  <si>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</si>
  <si>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</si>
  <si>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</si>
  <si>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</si>
  <si>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</si>
  <si>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</si>
  <si>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</si>
  <si>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</si>
  <si>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</si>
  <si>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</si>
  <si>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</si>
  <si>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</si>
  <si>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</si>
  <si>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</si>
  <si>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</si>
  <si>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Credit Rating</t>
  </si>
  <si>
    <t>Other Liabilities</t>
  </si>
  <si>
    <t>Lease Liabilities</t>
  </si>
  <si>
    <t>FY23</t>
  </si>
  <si>
    <t>FY24</t>
  </si>
  <si>
    <t>Non Current Assets, Loans &amp; Advances</t>
  </si>
  <si>
    <t>Current Liabilities &amp; Provisions</t>
  </si>
  <si>
    <t>FY25</t>
  </si>
  <si>
    <t xml:space="preserve"> Intangible Assets under development</t>
  </si>
  <si>
    <t>Borrowings</t>
  </si>
  <si>
    <t xml:space="preserve">Other Expenses &amp; Service and security charges </t>
  </si>
  <si>
    <t>Interest Coverage Ratio</t>
  </si>
  <si>
    <t>FY26</t>
  </si>
  <si>
    <t>Impairment on financial instruments</t>
  </si>
  <si>
    <t>OnEMI Technology Solution Limited (Consolidated)</t>
  </si>
  <si>
    <t>Financial Assets</t>
  </si>
  <si>
    <t>Other Non Current Assets</t>
  </si>
  <si>
    <t>Non Current Liabilities</t>
  </si>
  <si>
    <t>Debt Securities</t>
  </si>
  <si>
    <t>Current Tax Liabilities (Net)</t>
  </si>
  <si>
    <t>Other Equity</t>
  </si>
  <si>
    <t>Instruments entirely equity in nature</t>
  </si>
  <si>
    <t>Property, Plant and Equipmets</t>
  </si>
  <si>
    <t xml:space="preserve"> Loans</t>
  </si>
  <si>
    <t xml:space="preserve"> Other Financial Assets</t>
  </si>
  <si>
    <t>Total Comprehensive Income</t>
  </si>
  <si>
    <t xml:space="preserve"> Debt Securities</t>
  </si>
  <si>
    <t xml:space="preserve"> Borrowings</t>
  </si>
  <si>
    <t xml:space="preserve"> Lease Liabilities</t>
  </si>
  <si>
    <t xml:space="preserve"> Trade Payables</t>
  </si>
  <si>
    <t xml:space="preserve"> Other Financial Liabilities</t>
  </si>
  <si>
    <t xml:space="preserve"> Investments</t>
  </si>
  <si>
    <t xml:space="preserve"> Trade Recievables</t>
  </si>
  <si>
    <t xml:space="preserve"> Cash &amp; Cash Equivalents</t>
  </si>
  <si>
    <t xml:space="preserve"> Other Bank Balances</t>
  </si>
  <si>
    <t xml:space="preserve"> Other Current Financial Assets</t>
  </si>
  <si>
    <t>A-/Stable (Long Term)</t>
  </si>
  <si>
    <t>GNPA</t>
  </si>
  <si>
    <t>NNPA</t>
  </si>
  <si>
    <t>CRAR</t>
  </si>
  <si>
    <t>Q1-FY27</t>
  </si>
  <si>
    <t>-</t>
  </si>
  <si>
    <t>NA</t>
  </si>
  <si>
    <t>PCR/ECL Stage 1</t>
  </si>
  <si>
    <t>PCR/ECL Stage 2</t>
  </si>
  <si>
    <t>PCR/ECL Stage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</si>
</sst>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8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20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4" fillId="0" borderId="0" xfId="0" applyFont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65" fontId="6" fillId="0" borderId="2" xfId="1" applyNumberFormat="1" applyFont="1" applyBorder="1"/>
    <xf numFmtId="165" fontId="7" fillId="0" borderId="2" xfId="1" applyNumberFormat="1" applyFont="1" applyFill="1" applyBorder="1"/>
    <xf numFmtId="0" fontId="4" fillId="0" borderId="2" xfId="0" applyFont="1" applyBorder="1"/>
    <xf numFmtId="165" fontId="8" fillId="0" borderId="2" xfId="1" applyNumberFormat="1" applyFont="1" applyBorder="1"/>
    <xf numFmtId="165" fontId="8" fillId="0" borderId="2" xfId="1" applyNumberFormat="1" applyFont="1" applyFill="1" applyBorder="1"/>
    <xf numFmtId="0" fontId="6" fillId="3" borderId="2" xfId="0" applyFont="1" applyFill="1" applyBorder="1"/>
    <xf numFmtId="165" fontId="6" fillId="3" borderId="2" xfId="1" applyNumberFormat="1" applyFont="1" applyFill="1" applyBorder="1"/>
    <xf numFmtId="0" fontId="9" fillId="3" borderId="2" xfId="0" applyFont="1" applyFill="1" applyBorder="1"/>
    <xf numFmtId="165" fontId="6" fillId="3" borderId="5" xfId="1" applyNumberFormat="1" applyFont="1" applyFill="1" applyBorder="1"/>
    <xf numFmtId="165" fontId="7" fillId="3" borderId="2" xfId="1" applyNumberFormat="1" applyFont="1" applyFill="1" applyBorder="1"/>
    <xf numFmtId="0" fontId="4" fillId="0" borderId="6" xfId="0" applyFont="1" applyBorder="1"/>
    <xf numFmtId="164" fontId="6" fillId="3" borderId="2" xfId="0" applyNumberFormat="1" applyFont="1" applyFill="1" applyBorder="1"/>
    <xf numFmtId="0" fontId="4" fillId="3" borderId="2" xfId="0" applyFont="1" applyFill="1" applyBorder="1"/>
    <xf numFmtId="166" fontId="4" fillId="3" borderId="2" xfId="0" applyNumberFormat="1" applyFont="1" applyFill="1" applyBorder="1"/>
    <xf numFmtId="0" fontId="6" fillId="0" borderId="3" xfId="0" applyFont="1" applyBorder="1" applyAlignment="1">
      <alignment horizontal="center"/>
    </xf>
    <xf numFmtId="165" fontId="6" fillId="0" borderId="5" xfId="0" applyNumberFormat="1" applyFont="1" applyBorder="1"/>
    <xf numFmtId="165" fontId="6" fillId="0" borderId="2" xfId="0" applyNumberFormat="1" applyFont="1" applyBorder="1"/>
    <xf numFmtId="0" fontId="6" fillId="0" borderId="0" xfId="0" applyFont="1"/>
    <xf numFmtId="0" fontId="6" fillId="0" borderId="5" xfId="0" applyFont="1" applyBorder="1" applyAlignment="1">
      <alignment horizontal="center"/>
    </xf>
    <xf numFmtId="165" fontId="4" fillId="3" borderId="2" xfId="1" applyNumberFormat="1" applyFont="1" applyFill="1" applyBorder="1"/>
    <xf numFmtId="3" fontId="10" fillId="0" borderId="2" xfId="0" applyNumberFormat="1" applyFont="1" applyBorder="1"/>
    <xf numFmtId="165" fontId="7" fillId="3" borderId="5" xfId="1" applyNumberFormat="1" applyFont="1" applyFill="1" applyBorder="1"/>
    <xf numFmtId="164" fontId="6" fillId="0" borderId="2" xfId="0" applyNumberFormat="1" applyFont="1" applyBorder="1"/>
    <xf numFmtId="43" fontId="6" fillId="3" borderId="2" xfId="1" applyFont="1" applyFill="1" applyBorder="1"/>
    <xf numFmtId="164" fontId="4" fillId="3" borderId="2" xfId="0" applyNumberFormat="1" applyFont="1" applyFill="1" applyBorder="1"/>
    <xf numFmtId="43" fontId="4" fillId="3" borderId="2" xfId="1" applyFont="1" applyFill="1" applyBorder="1"/>
    <xf numFmtId="43" fontId="4" fillId="3" borderId="2" xfId="1" applyFont="1" applyFill="1" applyBorder="1" applyAlignment="1">
      <alignment horizontal="right"/>
    </xf>
    <xf numFmtId="10" fontId="8" fillId="3" borderId="2" xfId="2" applyNumberFormat="1" applyFont="1" applyFill="1" applyBorder="1" applyAlignment="1">
      <alignment horizontal="right"/>
    </xf>
    <xf numFmtId="0" fontId="4" fillId="0" borderId="4" xfId="0" applyFont="1" applyBorder="1"/>
    <xf numFmtId="43" fontId="8" fillId="0" borderId="0" xfId="1" applyFont="1" applyFill="1" applyBorder="1"/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8" fillId="3" borderId="2" xfId="1" applyNumberFormat="1" applyFont="1" applyFill="1" applyBorder="1"/>
    <xf numFmtId="3" fontId="8" fillId="0" borderId="2" xfId="0" applyNumberFormat="1" applyFont="1" applyBorder="1"/>
    <xf numFmtId="0" fontId="7" fillId="0" borderId="0" xfId="0" applyFont="1"/>
    <xf numFmtId="0" fontId="8" fillId="0" borderId="0" xfId="0" applyFont="1"/>
    <xf numFmtId="43" fontId="8" fillId="3" borderId="2" xfId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65" fontId="7" fillId="0" borderId="5" xfId="0" applyNumberFormat="1" applyFont="1" applyBorder="1"/>
    <xf numFmtId="0" fontId="4" fillId="3" borderId="6" xfId="0" applyFont="1" applyFill="1" applyBorder="1"/>
    <xf numFmtId="165" fontId="7" fillId="3" borderId="6" xfId="1" applyNumberFormat="1" applyFont="1" applyFill="1" applyBorder="1"/>
    <xf numFmtId="10" fontId="8" fillId="3" borderId="6" xfId="2" applyNumberFormat="1" applyFont="1" applyFill="1" applyBorder="1" applyAlignment="1">
      <alignment horizontal="right"/>
    </xf>
    <xf numFmtId="165" fontId="7" fillId="0" borderId="2" xfId="0" applyNumberFormat="1" applyFont="1" applyBorder="1"/>
    <xf numFmtId="2" fontId="8" fillId="3" borderId="6" xfId="2" applyNumberFormat="1" applyFont="1" applyFill="1" applyBorder="1" applyAlignment="1">
      <alignment horizontal="right"/>
    </xf>
    <xf numFmtId="2" fontId="8" fillId="3" borderId="2" xfId="2" applyNumberFormat="1" applyFont="1" applyFill="1" applyBorder="1" applyAlignment="1">
      <alignment horizontal="right"/>
    </xf>
    <xf numFmtId="165" fontId="7" fillId="0" borderId="2" xfId="1" applyNumberFormat="1" applyFont="1" applyBorder="1"/>
    <xf numFmtId="43" fontId="4" fillId="0" borderId="0" xfId="0" applyNumberFormat="1" applyFont="1"/>
    <xf numFmtId="2" fontId="4" fillId="0" borderId="0" xfId="0" applyNumberFormat="1" applyFont="1"/>
    <xf numFmtId="1" fontId="4" fillId="0" borderId="0" xfId="0" applyNumberFormat="1" applyFont="1"/>
    <xf numFmtId="1" fontId="4" fillId="0" borderId="0" xfId="1" applyNumberFormat="1" applyFont="1"/>
    <xf numFmtId="10" fontId="4" fillId="0" borderId="0" xfId="2" applyNumberFormat="1" applyFont="1"/>
    <xf numFmtId="0" fontId="5" fillId="2" borderId="0" xfId="0" applyFont="1" applyFill="1" applyAlignment="1">
      <alignment horizontal="center"/>
    </xf>
    <xf numFmtId="165" fontId="7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10" fontId="8" fillId="0" borderId="0" xfId="2" applyNumberFormat="1" applyFont="1" applyFill="1" applyBorder="1"/>
    <xf numFmtId="164" fontId="4" fillId="0" borderId="0" xfId="0" applyNumberFormat="1" applyFont="1"/>
    <xf numFmtId="164" fontId="4" fillId="0" borderId="2" xfId="0" applyNumberFormat="1" applyFont="1" applyBorder="1"/>
    <xf numFmtId="164" fontId="8" fillId="0" borderId="2" xfId="1" applyNumberFormat="1" applyFont="1" applyBorder="1"/>
    <xf numFmtId="164" fontId="6" fillId="3" borderId="2" xfId="1" applyNumberFormat="1" applyFont="1" applyFill="1" applyBorder="1"/>
    <xf numFmtId="164" fontId="7" fillId="3" borderId="2" xfId="1" applyNumberFormat="1" applyFont="1" applyFill="1" applyBorder="1"/>
    <xf numFmtId="168" fontId="4" fillId="0" borderId="2" xfId="0" applyNumberFormat="1" applyFont="1" applyBorder="1" applyAlignment="1">
      <alignment horizontal="right"/>
    </xf>
    <xf numFmtId="168" fontId="6" fillId="3" borderId="2" xfId="1" applyNumberFormat="1" applyFont="1" applyFill="1" applyBorder="1" applyAlignment="1">
      <alignment horizontal="right"/>
    </xf>
    <xf numFmtId="10" fontId="9" fillId="3" borderId="2" xfId="0" applyNumberFormat="1" applyFont="1" applyFill="1" applyBorder="1" applyAlignment="1">
      <alignment horizontal="right"/>
    </xf>
    <xf numFmtId="168" fontId="7" fillId="3" borderId="2" xfId="1" applyNumberFormat="1" applyFont="1" applyFill="1" applyBorder="1" applyAlignment="1">
      <alignment horizontal="right"/>
    </xf>
    <xf numFmtId="10" fontId="6" fillId="3" borderId="2" xfId="0" applyNumberFormat="1" applyFont="1" applyFill="1" applyBorder="1" applyAlignment="1">
      <alignment horizontal="right"/>
    </xf>
    <xf numFmtId="10" fontId="11" fillId="3" borderId="2" xfId="0" applyNumberFormat="1" applyFont="1" applyFill="1" applyBorder="1" applyAlignment="1">
      <alignment horizontal="right"/>
    </xf>
    <xf numFmtId="165" fontId="7" fillId="3" borderId="2" xfId="1" applyNumberFormat="1" applyFont="1" applyFill="1" applyBorder="1" applyAlignment="1">
      <alignment horizontal="right"/>
    </xf>
    <xf numFmtId="10" fontId="7" fillId="3" borderId="2" xfId="2" applyNumberFormat="1" applyFont="1" applyFill="1" applyBorder="1" applyAlignment="1">
      <alignment horizontal="right"/>
    </xf>
    <xf numFmtId="168" fontId="8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0" fontId="4" fillId="3" borderId="2" xfId="0" applyNumberFormat="1" applyFont="1" applyFill="1" applyBorder="1" applyAlignment="1">
      <alignment horizontal="right"/>
    </xf>
    <xf numFmtId="43" fontId="9" fillId="3" borderId="2" xfId="1" applyFont="1" applyFill="1" applyBorder="1" applyAlignment="1">
      <alignment horizontal="right"/>
    </xf>
    <xf numFmtId="10" fontId="6" fillId="3" borderId="2" xfId="2" applyNumberFormat="1" applyFont="1" applyFill="1" applyBorder="1" applyAlignment="1">
      <alignment horizontal="right"/>
    </xf>
    <xf numFmtId="2" fontId="4" fillId="0" borderId="2" xfId="0" applyNumberFormat="1" applyFont="1" applyBorder="1" applyAlignment="1">
      <alignment horizontal="right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6"/>
  <sheetViews>
    <sheetView tabSelected="1" zoomScale="70" zoomScaleNormal="70" zoomScaleSheetLayoutView="82" workbookViewId="0">
      <selection activeCell="A12" sqref="A12"/>
    </sheetView>
  </sheetViews>
  <sheetFormatPr defaultColWidth="9.33203125" defaultRowHeight="18" x14ac:dyDescent="0.35"/>
  <cols>
    <col min="1" max="1" width="70.44140625" style="1" bestFit="1" customWidth="1"/>
    <col min="2" max="2" width="16.44140625" style="1" bestFit="1" customWidth="1"/>
    <col min="3" max="3" width="16.44140625" style="1" customWidth="1"/>
    <col min="4" max="6" width="16.44140625" style="41" customWidth="1"/>
    <col min="7" max="7" width="10.33203125" style="1" customWidth="1"/>
    <col min="8" max="8" width="50.44140625" style="1" bestFit="1" customWidth="1"/>
    <col min="9" max="9" width="16" style="1" customWidth="1"/>
    <col min="10" max="10" width="14" style="1" bestFit="1" customWidth="1"/>
    <col min="11" max="11" width="14.33203125" style="41" bestFit="1" customWidth="1"/>
    <col min="12" max="12" width="13.44140625" style="1" bestFit="1" customWidth="1"/>
    <col min="13" max="13" width="11" style="1" bestFit="1" customWidth="1"/>
    <col min="14" max="15" width="9.33203125" style="1"/>
    <col min="16" max="16" width="14" style="1" bestFit="1" customWidth="1"/>
    <col min="17" max="17" width="10.5546875" style="1" bestFit="1" customWidth="1"/>
    <col min="18" max="19" width="12.44140625" style="1" bestFit="1" customWidth="1"/>
    <col min="20" max="16384" width="9.33203125" style="1"/>
  </cols>
  <sheetData>
    <row r="1" spans="1:19" ht="29.25" customHeight="1" x14ac:dyDescent="0.35">
      <c r="A1" s="60" t="s">
        <v>77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9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9" x14ac:dyDescent="0.35">
      <c r="A3" s="63" t="s">
        <v>0</v>
      </c>
      <c r="B3" s="64"/>
      <c r="C3" s="64"/>
      <c r="D3" s="64"/>
      <c r="E3" s="64"/>
      <c r="F3" s="58"/>
      <c r="G3" s="23"/>
      <c r="H3" s="65" t="s">
        <v>1</v>
      </c>
      <c r="I3" s="66"/>
      <c r="J3" s="66"/>
      <c r="K3" s="66"/>
      <c r="L3" s="67"/>
    </row>
    <row r="4" spans="1:19" x14ac:dyDescent="0.35">
      <c r="A4" s="2" t="s">
        <v>2</v>
      </c>
      <c r="B4" s="3" t="s">
        <v>66</v>
      </c>
      <c r="C4" s="3" t="s">
        <v>67</v>
      </c>
      <c r="D4" s="36" t="s">
        <v>70</v>
      </c>
      <c r="E4" s="36" t="s">
        <v>75</v>
      </c>
      <c r="F4" s="36" t="s">
        <v>103</v>
      </c>
      <c r="G4" s="23"/>
      <c r="H4" s="4" t="s">
        <v>2</v>
      </c>
      <c r="I4" s="5" t="s">
        <v>66</v>
      </c>
      <c r="J4" s="5" t="s">
        <v>67</v>
      </c>
      <c r="K4" s="5" t="s">
        <v>70</v>
      </c>
      <c r="L4" s="5" t="s">
        <v>75</v>
      </c>
    </row>
    <row r="5" spans="1:19" x14ac:dyDescent="0.35">
      <c r="A5" s="4" t="s">
        <v>3</v>
      </c>
      <c r="B5" s="80">
        <v>9844.57</v>
      </c>
      <c r="C5" s="80">
        <v>16744.46</v>
      </c>
      <c r="D5" s="80">
        <v>13374.65</v>
      </c>
      <c r="E5" s="80">
        <v>21792.46</v>
      </c>
      <c r="F5" s="80">
        <v>6695</v>
      </c>
      <c r="G5" s="23"/>
      <c r="H5" s="8" t="s">
        <v>4</v>
      </c>
      <c r="I5" s="76">
        <v>47.8</v>
      </c>
      <c r="J5" s="76">
        <v>47.8</v>
      </c>
      <c r="K5" s="77">
        <v>53.63</v>
      </c>
      <c r="L5" s="77">
        <v>118.78</v>
      </c>
    </row>
    <row r="6" spans="1:19" x14ac:dyDescent="0.35">
      <c r="A6" s="8" t="s">
        <v>5</v>
      </c>
      <c r="B6" s="80">
        <v>170.48</v>
      </c>
      <c r="C6" s="80">
        <v>258.56</v>
      </c>
      <c r="D6" s="80">
        <v>152.22999999999999</v>
      </c>
      <c r="E6" s="80">
        <v>298.83</v>
      </c>
      <c r="F6" s="80">
        <v>70.55</v>
      </c>
      <c r="G6" s="23"/>
      <c r="H6" s="8" t="s">
        <v>84</v>
      </c>
      <c r="I6" s="76">
        <v>52.81</v>
      </c>
      <c r="J6" s="76">
        <v>52.93</v>
      </c>
      <c r="K6" s="77">
        <v>53.16</v>
      </c>
      <c r="L6" s="77">
        <v>0</v>
      </c>
    </row>
    <row r="7" spans="1:19" x14ac:dyDescent="0.35">
      <c r="A7" s="11" t="s">
        <v>6</v>
      </c>
      <c r="B7" s="81">
        <f t="shared" ref="B7" si="0">B5+B6</f>
        <v>10015.049999999999</v>
      </c>
      <c r="C7" s="81">
        <f>C5+C6</f>
        <v>17003.02</v>
      </c>
      <c r="D7" s="81">
        <f>D5+D6</f>
        <v>13526.88</v>
      </c>
      <c r="E7" s="81">
        <f>E5+E6</f>
        <v>22091.29</v>
      </c>
      <c r="F7" s="81">
        <f>F5+F6</f>
        <v>6765.55</v>
      </c>
      <c r="G7" s="23"/>
      <c r="H7" s="8" t="s">
        <v>83</v>
      </c>
      <c r="I7" s="77">
        <v>5561.73</v>
      </c>
      <c r="J7" s="77">
        <v>7944.96</v>
      </c>
      <c r="K7" s="77">
        <v>9953.15</v>
      </c>
      <c r="L7" s="77">
        <v>13309.06</v>
      </c>
    </row>
    <row r="8" spans="1:19" x14ac:dyDescent="0.35">
      <c r="A8" s="13" t="s">
        <v>8</v>
      </c>
      <c r="B8" s="91">
        <v>0</v>
      </c>
      <c r="C8" s="82">
        <f>(C7/B7-1)</f>
        <v>0.69774689092915176</v>
      </c>
      <c r="D8" s="82">
        <f>(D7/C7-1)</f>
        <v>-0.20444250491971439</v>
      </c>
      <c r="E8" s="82">
        <f>(E7/D7-1)</f>
        <v>0.63314008847568704</v>
      </c>
      <c r="F8" s="82" t="s">
        <v>104</v>
      </c>
      <c r="G8" s="23"/>
      <c r="H8" s="11" t="s">
        <v>7</v>
      </c>
      <c r="I8" s="78">
        <f>(I5+I7+I6)</f>
        <v>5662.34</v>
      </c>
      <c r="J8" s="78">
        <f>(J5+J7+J6)</f>
        <v>8045.6900000000005</v>
      </c>
      <c r="K8" s="78">
        <f>(K5+K7+K6)</f>
        <v>10059.939999999999</v>
      </c>
      <c r="L8" s="78">
        <f>(L5+L7)</f>
        <v>13427.84</v>
      </c>
    </row>
    <row r="9" spans="1:19" x14ac:dyDescent="0.35">
      <c r="A9" s="13" t="s">
        <v>9</v>
      </c>
      <c r="B9" s="91">
        <v>0</v>
      </c>
      <c r="C9" s="91">
        <v>0</v>
      </c>
      <c r="D9" s="91">
        <v>0</v>
      </c>
      <c r="E9" s="82">
        <f>(E7/B7)^(1/3)-1</f>
        <v>0.30173520890310246</v>
      </c>
      <c r="F9" s="82" t="s">
        <v>104</v>
      </c>
      <c r="G9" s="23"/>
      <c r="H9" s="11" t="s">
        <v>80</v>
      </c>
      <c r="I9" s="78">
        <f>SUM(I11:I15)</f>
        <v>639.67999999999995</v>
      </c>
      <c r="J9" s="78">
        <f>SUM(J11:J15)</f>
        <v>2102.0100000000002</v>
      </c>
      <c r="K9" s="78">
        <f>SUM(K11:K15)</f>
        <v>3097.88</v>
      </c>
      <c r="L9" s="78">
        <f>SUM(L11:L15)</f>
        <v>6581.32</v>
      </c>
    </row>
    <row r="10" spans="1:19" x14ac:dyDescent="0.35">
      <c r="A10" s="11" t="s">
        <v>11</v>
      </c>
      <c r="B10" s="81">
        <f t="shared" ref="B10:E10" si="1">SUM(B11:B13)</f>
        <v>9037.94</v>
      </c>
      <c r="C10" s="81">
        <f t="shared" si="1"/>
        <v>13413.439999999999</v>
      </c>
      <c r="D10" s="83">
        <f t="shared" si="1"/>
        <v>9493.2000000000007</v>
      </c>
      <c r="E10" s="83">
        <f t="shared" si="1"/>
        <v>15285.77</v>
      </c>
      <c r="F10" s="83">
        <f t="shared" ref="F10" si="2">SUM(F11:F13)</f>
        <v>4621.57</v>
      </c>
      <c r="G10" s="23"/>
      <c r="H10" s="8" t="s">
        <v>10</v>
      </c>
      <c r="I10" s="77"/>
      <c r="J10" s="77"/>
      <c r="K10" s="77"/>
      <c r="L10" s="77"/>
    </row>
    <row r="11" spans="1:19" x14ac:dyDescent="0.35">
      <c r="A11" s="8" t="s">
        <v>76</v>
      </c>
      <c r="B11" s="80">
        <v>2993</v>
      </c>
      <c r="C11" s="80">
        <v>6211.51</v>
      </c>
      <c r="D11" s="80">
        <v>3268.34</v>
      </c>
      <c r="E11" s="80">
        <v>4588.3599999999997</v>
      </c>
      <c r="F11" s="80">
        <v>1280.94</v>
      </c>
      <c r="G11" s="23"/>
      <c r="H11" s="8" t="s">
        <v>81</v>
      </c>
      <c r="I11" s="77">
        <v>0</v>
      </c>
      <c r="J11" s="77">
        <v>1188.99</v>
      </c>
      <c r="K11" s="77">
        <v>2016.63</v>
      </c>
      <c r="L11" s="77">
        <v>5010.4799999999996</v>
      </c>
      <c r="Q11" s="55"/>
      <c r="R11" s="56"/>
      <c r="S11" s="56"/>
    </row>
    <row r="12" spans="1:19" x14ac:dyDescent="0.35">
      <c r="A12" s="8" t="s">
        <v>13</v>
      </c>
      <c r="B12" s="80">
        <v>1157.72</v>
      </c>
      <c r="C12" s="80">
        <v>1807.56</v>
      </c>
      <c r="D12" s="80">
        <v>1932.36</v>
      </c>
      <c r="E12" s="80">
        <v>2524.61</v>
      </c>
      <c r="F12" s="80">
        <v>707.36</v>
      </c>
      <c r="G12" s="23"/>
      <c r="H12" s="8" t="s">
        <v>72</v>
      </c>
      <c r="I12" s="77">
        <v>198.4</v>
      </c>
      <c r="J12" s="77">
        <v>498.81</v>
      </c>
      <c r="K12" s="77">
        <v>676.46</v>
      </c>
      <c r="L12" s="77">
        <v>1275.24</v>
      </c>
      <c r="Q12" s="57"/>
      <c r="R12" s="57"/>
      <c r="S12" s="57"/>
    </row>
    <row r="13" spans="1:19" x14ac:dyDescent="0.35">
      <c r="A13" s="8" t="s">
        <v>73</v>
      </c>
      <c r="B13" s="80">
        <v>4887.22</v>
      </c>
      <c r="C13" s="80">
        <v>5394.37</v>
      </c>
      <c r="D13" s="80">
        <v>4292.5</v>
      </c>
      <c r="E13" s="80">
        <v>8172.8</v>
      </c>
      <c r="F13" s="80">
        <v>2633.27</v>
      </c>
      <c r="G13" s="23"/>
      <c r="H13" s="8" t="s">
        <v>65</v>
      </c>
      <c r="I13" s="77">
        <v>415.55</v>
      </c>
      <c r="J13" s="77">
        <v>362.22</v>
      </c>
      <c r="K13" s="77">
        <v>325.91000000000003</v>
      </c>
      <c r="L13" s="77">
        <v>181.3</v>
      </c>
      <c r="P13" s="53"/>
    </row>
    <row r="14" spans="1:19" x14ac:dyDescent="0.35">
      <c r="A14" s="11" t="s">
        <v>15</v>
      </c>
      <c r="B14" s="81">
        <f>(B5-B10)</f>
        <v>806.6299999999992</v>
      </c>
      <c r="C14" s="81">
        <f>(C5-C10)</f>
        <v>3331.0200000000004</v>
      </c>
      <c r="D14" s="83">
        <f>(D5-D10)</f>
        <v>3881.4499999999989</v>
      </c>
      <c r="E14" s="83">
        <f>(E5-E10)</f>
        <v>6506.6899999999987</v>
      </c>
      <c r="F14" s="83">
        <f>(F5-F10)</f>
        <v>2073.4300000000003</v>
      </c>
      <c r="G14" s="23"/>
      <c r="H14" s="8" t="s">
        <v>64</v>
      </c>
      <c r="I14" s="77">
        <v>0.05</v>
      </c>
      <c r="J14" s="77">
        <v>0.05</v>
      </c>
      <c r="K14" s="77">
        <v>0.05</v>
      </c>
      <c r="L14" s="77">
        <v>0</v>
      </c>
      <c r="P14" s="54"/>
    </row>
    <row r="15" spans="1:19" x14ac:dyDescent="0.35">
      <c r="A15" s="13" t="s">
        <v>8</v>
      </c>
      <c r="B15" s="91">
        <v>0</v>
      </c>
      <c r="C15" s="82">
        <f>(C14/B14-1)</f>
        <v>3.1295513432428796</v>
      </c>
      <c r="D15" s="82">
        <f>(D14/C14-1)</f>
        <v>0.16524367911330406</v>
      </c>
      <c r="E15" s="82">
        <f>E14/D14-1</f>
        <v>0.67635548570766102</v>
      </c>
      <c r="F15" s="82" t="s">
        <v>104</v>
      </c>
      <c r="G15" s="23"/>
      <c r="H15" s="8" t="s">
        <v>12</v>
      </c>
      <c r="I15" s="77">
        <v>25.68</v>
      </c>
      <c r="J15" s="77">
        <v>51.94</v>
      </c>
      <c r="K15" s="77">
        <v>78.83</v>
      </c>
      <c r="L15" s="77">
        <v>114.3</v>
      </c>
    </row>
    <row r="16" spans="1:19" x14ac:dyDescent="0.35">
      <c r="A16" s="13" t="s">
        <v>9</v>
      </c>
      <c r="B16" s="91">
        <v>0</v>
      </c>
      <c r="C16" s="91">
        <v>0</v>
      </c>
      <c r="D16" s="91">
        <v>0</v>
      </c>
      <c r="E16" s="82">
        <f>(E14/B14)^(1/3)-1</f>
        <v>1.0055273176163806</v>
      </c>
      <c r="F16" s="82" t="s">
        <v>104</v>
      </c>
      <c r="G16" s="23"/>
      <c r="H16" s="11" t="s">
        <v>14</v>
      </c>
      <c r="I16" s="79">
        <f>I47-I37</f>
        <v>6302.0199999999977</v>
      </c>
      <c r="J16" s="79">
        <f>J47-J37</f>
        <v>10147.700000000001</v>
      </c>
      <c r="K16" s="79">
        <f>K47-K37</f>
        <v>13157.819999999996</v>
      </c>
      <c r="L16" s="79">
        <f>L47-L37</f>
        <v>20009.16</v>
      </c>
    </row>
    <row r="17" spans="1:12" x14ac:dyDescent="0.35">
      <c r="A17" s="11" t="s">
        <v>16</v>
      </c>
      <c r="B17" s="84">
        <f>(B14/B5)</f>
        <v>8.1936539635555361E-2</v>
      </c>
      <c r="C17" s="84">
        <f>(C14/C5)</f>
        <v>0.19893266190728162</v>
      </c>
      <c r="D17" s="84">
        <f>(D14/D5)</f>
        <v>0.29020946342521103</v>
      </c>
      <c r="E17" s="84">
        <f>(E14/E5)</f>
        <v>0.29857528704882325</v>
      </c>
      <c r="F17" s="84">
        <f>(F14/F5)</f>
        <v>0.30969828230022411</v>
      </c>
      <c r="G17" s="23"/>
      <c r="H17" s="11" t="s">
        <v>68</v>
      </c>
      <c r="I17" s="79">
        <f>SUM(I18:I25)</f>
        <v>992.11</v>
      </c>
      <c r="J17" s="79">
        <f>SUM(J18:J25)</f>
        <v>2175.27</v>
      </c>
      <c r="K17" s="79">
        <f>SUM(K18:K26)</f>
        <v>5397.88</v>
      </c>
      <c r="L17" s="79">
        <f>SUM(L18:L26)</f>
        <v>8634.49</v>
      </c>
    </row>
    <row r="18" spans="1:12" ht="18.600000000000001" customHeight="1" x14ac:dyDescent="0.35">
      <c r="A18" s="8" t="s">
        <v>17</v>
      </c>
      <c r="B18" s="80">
        <v>178.56</v>
      </c>
      <c r="C18" s="80">
        <v>228.78</v>
      </c>
      <c r="D18" s="80">
        <v>227.02</v>
      </c>
      <c r="E18" s="80">
        <v>216.17</v>
      </c>
      <c r="F18" s="80">
        <v>48.22</v>
      </c>
      <c r="G18" s="23"/>
      <c r="H18" s="8" t="s">
        <v>85</v>
      </c>
      <c r="I18" s="77">
        <v>89.82</v>
      </c>
      <c r="J18" s="77">
        <v>73.819999999999993</v>
      </c>
      <c r="K18" s="77">
        <v>62.56</v>
      </c>
      <c r="L18" s="77">
        <v>73.61</v>
      </c>
    </row>
    <row r="19" spans="1:12" x14ac:dyDescent="0.35">
      <c r="A19" s="8" t="s">
        <v>18</v>
      </c>
      <c r="B19" s="80">
        <v>559.02</v>
      </c>
      <c r="C19" s="80">
        <v>686.39</v>
      </c>
      <c r="D19" s="80">
        <v>1644.02</v>
      </c>
      <c r="E19" s="80">
        <v>2822.51</v>
      </c>
      <c r="F19" s="80">
        <v>818.75</v>
      </c>
      <c r="G19" s="23"/>
      <c r="H19" s="8" t="s">
        <v>19</v>
      </c>
      <c r="I19" s="77">
        <v>526.44000000000005</v>
      </c>
      <c r="J19" s="77">
        <v>482.97</v>
      </c>
      <c r="K19" s="77">
        <v>454.23</v>
      </c>
      <c r="L19" s="77">
        <v>304.82</v>
      </c>
    </row>
    <row r="20" spans="1:12" x14ac:dyDescent="0.35">
      <c r="A20" s="11" t="s">
        <v>21</v>
      </c>
      <c r="B20" s="83">
        <f>(B14-B18-B19+B6)</f>
        <v>239.52999999999926</v>
      </c>
      <c r="C20" s="83">
        <f>(C14-C18-C19+C6)</f>
        <v>2674.4100000000003</v>
      </c>
      <c r="D20" s="83">
        <f>(D14-D18-D19+D6)</f>
        <v>2162.639999999999</v>
      </c>
      <c r="E20" s="83">
        <f>(E14-E18-E19+E6)</f>
        <v>3766.8399999999983</v>
      </c>
      <c r="F20" s="83">
        <f>(F14-F18-F19+F6)</f>
        <v>1277.0100000000002</v>
      </c>
      <c r="G20" s="23"/>
      <c r="H20" s="8" t="s">
        <v>20</v>
      </c>
      <c r="I20" s="77">
        <v>46.38</v>
      </c>
      <c r="J20" s="77">
        <v>15.58</v>
      </c>
      <c r="K20" s="77">
        <v>13.16</v>
      </c>
      <c r="L20" s="77">
        <v>51.68</v>
      </c>
    </row>
    <row r="21" spans="1:12" x14ac:dyDescent="0.35">
      <c r="A21" s="8" t="s">
        <v>23</v>
      </c>
      <c r="B21" s="80">
        <v>-37.14</v>
      </c>
      <c r="C21" s="80">
        <v>701.51</v>
      </c>
      <c r="D21" s="80">
        <v>556.42999999999995</v>
      </c>
      <c r="E21" s="80">
        <v>952.32</v>
      </c>
      <c r="F21" s="80">
        <v>326.24</v>
      </c>
      <c r="G21" s="23"/>
      <c r="H21" s="8" t="s">
        <v>71</v>
      </c>
      <c r="I21" s="77">
        <v>0</v>
      </c>
      <c r="J21" s="77">
        <v>1.5</v>
      </c>
      <c r="K21" s="77">
        <v>47.79</v>
      </c>
      <c r="L21" s="77">
        <v>62.96</v>
      </c>
    </row>
    <row r="22" spans="1:12" x14ac:dyDescent="0.35">
      <c r="A22" s="13" t="s">
        <v>24</v>
      </c>
      <c r="B22" s="82">
        <f t="shared" ref="B22" si="3">(B21/B20)</f>
        <v>-0.15505364672483662</v>
      </c>
      <c r="C22" s="82">
        <f>(C21/C20)</f>
        <v>0.26230458306691939</v>
      </c>
      <c r="D22" s="85">
        <f>(D21/D20)</f>
        <v>0.25729201346502434</v>
      </c>
      <c r="E22" s="85">
        <f>(E21/E20)</f>
        <v>0.25281668454195039</v>
      </c>
      <c r="F22" s="85">
        <f>(F21/F20)</f>
        <v>0.25547176607857414</v>
      </c>
      <c r="G22" s="23"/>
      <c r="H22" s="16" t="s">
        <v>78</v>
      </c>
      <c r="I22" s="77"/>
      <c r="J22" s="77"/>
      <c r="K22" s="77"/>
      <c r="L22" s="77"/>
    </row>
    <row r="23" spans="1:12" x14ac:dyDescent="0.35">
      <c r="A23" s="11" t="s">
        <v>25</v>
      </c>
      <c r="B23" s="86">
        <f t="shared" ref="B23" si="4">(B20-B21)</f>
        <v>276.66999999999928</v>
      </c>
      <c r="C23" s="86">
        <f t="shared" ref="C23" si="5">(C20-C21)</f>
        <v>1972.9000000000003</v>
      </c>
      <c r="D23" s="86">
        <f>(D20-D21)</f>
        <v>1606.2099999999991</v>
      </c>
      <c r="E23" s="86">
        <f>(E20-E21)</f>
        <v>2814.5199999999982</v>
      </c>
      <c r="F23" s="86">
        <f>(F20-F21)</f>
        <v>950.77000000000021</v>
      </c>
      <c r="G23" s="23"/>
      <c r="H23" s="8" t="s">
        <v>86</v>
      </c>
      <c r="I23" s="77">
        <v>10.72</v>
      </c>
      <c r="J23" s="77">
        <v>870.78</v>
      </c>
      <c r="K23" s="77">
        <v>2808.02</v>
      </c>
      <c r="L23" s="77">
        <v>5507.31</v>
      </c>
    </row>
    <row r="24" spans="1:12" x14ac:dyDescent="0.35">
      <c r="A24" s="11" t="s">
        <v>26</v>
      </c>
      <c r="B24" s="92">
        <f>B23/B5</f>
        <v>2.8103817637540215E-2</v>
      </c>
      <c r="C24" s="92">
        <f>C23/C5</f>
        <v>0.11782404448993879</v>
      </c>
      <c r="D24" s="87">
        <f>D23/D5</f>
        <v>0.120093609926241</v>
      </c>
      <c r="E24" s="87">
        <f>E23/E5</f>
        <v>0.12915109170786584</v>
      </c>
      <c r="F24" s="87">
        <f>F23/F5</f>
        <v>0.14201194921583274</v>
      </c>
      <c r="G24" s="23"/>
      <c r="H24" s="8" t="s">
        <v>87</v>
      </c>
      <c r="I24" s="77">
        <v>318.75</v>
      </c>
      <c r="J24" s="77">
        <v>730.62</v>
      </c>
      <c r="K24" s="77">
        <v>884.82</v>
      </c>
      <c r="L24" s="77">
        <v>984.79</v>
      </c>
    </row>
    <row r="25" spans="1:12" x14ac:dyDescent="0.35">
      <c r="A25" s="8" t="s">
        <v>27</v>
      </c>
      <c r="B25" s="80">
        <v>-2.86</v>
      </c>
      <c r="C25" s="80">
        <v>-1.33</v>
      </c>
      <c r="D25" s="88">
        <v>-9.1999999999999993</v>
      </c>
      <c r="E25" s="88">
        <v>-3.38</v>
      </c>
      <c r="F25" s="88">
        <v>-3.93</v>
      </c>
      <c r="G25" s="23"/>
      <c r="H25" s="8" t="s">
        <v>79</v>
      </c>
      <c r="I25" s="77">
        <v>0</v>
      </c>
      <c r="J25" s="77">
        <v>0</v>
      </c>
      <c r="K25" s="77">
        <v>0</v>
      </c>
      <c r="L25" s="77">
        <v>188.03</v>
      </c>
    </row>
    <row r="26" spans="1:12" x14ac:dyDescent="0.35">
      <c r="A26" s="11" t="s">
        <v>88</v>
      </c>
      <c r="B26" s="81">
        <f>(B23+B25)</f>
        <v>273.80999999999926</v>
      </c>
      <c r="C26" s="81">
        <f t="shared" ref="C26:E26" si="6">(C23+C25)</f>
        <v>1971.5700000000004</v>
      </c>
      <c r="D26" s="81">
        <f t="shared" si="6"/>
        <v>1597.0099999999991</v>
      </c>
      <c r="E26" s="81">
        <f t="shared" si="6"/>
        <v>2811.1399999999981</v>
      </c>
      <c r="F26" s="81">
        <f>(F23+F25)</f>
        <v>946.84000000000026</v>
      </c>
      <c r="G26" s="23"/>
      <c r="H26" s="8" t="s">
        <v>22</v>
      </c>
      <c r="I26" s="77">
        <v>1024.53</v>
      </c>
      <c r="J26" s="77">
        <v>1283.3499999999999</v>
      </c>
      <c r="K26" s="77">
        <v>1127.3</v>
      </c>
      <c r="L26" s="77">
        <v>1461.29</v>
      </c>
    </row>
    <row r="27" spans="1:12" x14ac:dyDescent="0.35">
      <c r="A27" s="13" t="s">
        <v>8</v>
      </c>
      <c r="B27" s="91">
        <v>0</v>
      </c>
      <c r="C27" s="82">
        <f>(C23/B23-1)</f>
        <v>6.1308779412296435</v>
      </c>
      <c r="D27" s="82">
        <f t="shared" ref="D27:E27" si="7">(D23/C23-1)</f>
        <v>-0.18586344974403224</v>
      </c>
      <c r="E27" s="82">
        <f t="shared" si="7"/>
        <v>0.75227398658954914</v>
      </c>
      <c r="F27" s="82" t="s">
        <v>104</v>
      </c>
      <c r="G27" s="23"/>
      <c r="H27" s="8"/>
      <c r="I27" s="77"/>
      <c r="J27" s="77"/>
      <c r="K27" s="77"/>
      <c r="L27" s="77"/>
    </row>
    <row r="28" spans="1:12" x14ac:dyDescent="0.35">
      <c r="A28" s="13" t="s">
        <v>9</v>
      </c>
      <c r="B28" s="91">
        <v>0</v>
      </c>
      <c r="C28" s="91">
        <v>0</v>
      </c>
      <c r="D28" s="91">
        <v>0</v>
      </c>
      <c r="E28" s="82">
        <f>(E23/B23)^(1/3)-1</f>
        <v>1.1667763648833871</v>
      </c>
      <c r="F28" s="82" t="s">
        <v>104</v>
      </c>
      <c r="G28" s="23"/>
      <c r="H28" s="11" t="s">
        <v>28</v>
      </c>
      <c r="I28" s="78">
        <f>SUM(I29:I36)</f>
        <v>10735.359999999999</v>
      </c>
      <c r="J28" s="78">
        <f>SUM(J29:J36)</f>
        <v>14506.630000000001</v>
      </c>
      <c r="K28" s="78">
        <f>SUM(K29:K36)</f>
        <v>21613.159999999996</v>
      </c>
      <c r="L28" s="78">
        <f>SUM(L29:L36)</f>
        <v>31251.23</v>
      </c>
    </row>
    <row r="29" spans="1:12" x14ac:dyDescent="0.35">
      <c r="A29" s="4" t="s">
        <v>29</v>
      </c>
      <c r="B29" s="93">
        <v>2.5</v>
      </c>
      <c r="C29" s="89">
        <v>15.54</v>
      </c>
      <c r="D29" s="89">
        <v>12.79</v>
      </c>
      <c r="E29" s="89">
        <v>21.39</v>
      </c>
      <c r="F29" s="89">
        <v>5.88</v>
      </c>
      <c r="G29" s="23"/>
      <c r="H29" s="8" t="s">
        <v>78</v>
      </c>
      <c r="I29" s="77"/>
      <c r="J29" s="77"/>
      <c r="K29" s="77"/>
      <c r="L29" s="77"/>
    </row>
    <row r="30" spans="1:12" x14ac:dyDescent="0.35">
      <c r="A30" s="18" t="s">
        <v>8</v>
      </c>
      <c r="B30" s="91">
        <v>0</v>
      </c>
      <c r="C30" s="90">
        <f>(C29/B29-1)</f>
        <v>5.2159999999999993</v>
      </c>
      <c r="D30" s="90">
        <f>(D29/C29-1)</f>
        <v>-0.17696267696267698</v>
      </c>
      <c r="E30" s="90">
        <f>(E29/D29-1)</f>
        <v>0.67240031274433165</v>
      </c>
      <c r="F30" s="90" t="s">
        <v>104</v>
      </c>
      <c r="G30" s="23"/>
      <c r="H30" s="8" t="s">
        <v>94</v>
      </c>
      <c r="I30" s="77">
        <v>0</v>
      </c>
      <c r="J30" s="77">
        <v>0</v>
      </c>
      <c r="K30" s="77">
        <v>0</v>
      </c>
      <c r="L30" s="77">
        <v>80.45</v>
      </c>
    </row>
    <row r="31" spans="1:12" x14ac:dyDescent="0.35">
      <c r="A31" s="18" t="s">
        <v>30</v>
      </c>
      <c r="B31" s="91">
        <v>0</v>
      </c>
      <c r="C31" s="91">
        <v>0</v>
      </c>
      <c r="D31" s="91">
        <v>0</v>
      </c>
      <c r="E31" s="82">
        <f>(E29/B29)^(1/3)-1</f>
        <v>1.0452995617701206</v>
      </c>
      <c r="F31" s="82" t="s">
        <v>104</v>
      </c>
      <c r="G31" s="23"/>
      <c r="H31" s="8" t="s">
        <v>95</v>
      </c>
      <c r="I31" s="77">
        <v>657.79</v>
      </c>
      <c r="J31" s="77">
        <v>1624.36</v>
      </c>
      <c r="K31" s="77">
        <v>700.77</v>
      </c>
      <c r="L31" s="77">
        <v>1042.97</v>
      </c>
    </row>
    <row r="32" spans="1:12" x14ac:dyDescent="0.35">
      <c r="A32" s="68"/>
      <c r="B32" s="68"/>
      <c r="C32" s="68"/>
      <c r="D32" s="68"/>
      <c r="E32" s="43"/>
      <c r="F32" s="43"/>
      <c r="G32" s="23"/>
      <c r="H32" s="8" t="s">
        <v>96</v>
      </c>
      <c r="I32" s="77">
        <v>5699.68</v>
      </c>
      <c r="J32" s="77">
        <v>2850.37</v>
      </c>
      <c r="K32" s="77">
        <v>1327.23</v>
      </c>
      <c r="L32" s="77">
        <v>2094.56</v>
      </c>
    </row>
    <row r="33" spans="1:12" x14ac:dyDescent="0.35">
      <c r="A33" s="63" t="s">
        <v>32</v>
      </c>
      <c r="B33" s="64"/>
      <c r="C33" s="64"/>
      <c r="D33" s="64"/>
      <c r="E33" s="64"/>
      <c r="F33" s="59"/>
      <c r="G33" s="23"/>
      <c r="H33" s="8" t="s">
        <v>97</v>
      </c>
      <c r="I33" s="77">
        <v>913.11</v>
      </c>
      <c r="J33" s="77">
        <v>331.43</v>
      </c>
      <c r="K33" s="77">
        <v>117.7</v>
      </c>
      <c r="L33" s="77">
        <v>317.54000000000002</v>
      </c>
    </row>
    <row r="34" spans="1:12" x14ac:dyDescent="0.35">
      <c r="A34" s="2" t="s">
        <v>2</v>
      </c>
      <c r="B34" s="20" t="s">
        <v>66</v>
      </c>
      <c r="C34" s="5" t="s">
        <v>67</v>
      </c>
      <c r="D34" s="44" t="s">
        <v>70</v>
      </c>
      <c r="E34" s="37" t="s">
        <v>75</v>
      </c>
      <c r="F34" s="59"/>
      <c r="G34" s="23"/>
      <c r="H34" s="8" t="s">
        <v>86</v>
      </c>
      <c r="I34" s="77">
        <v>2933.45</v>
      </c>
      <c r="J34" s="77">
        <v>9601.75</v>
      </c>
      <c r="K34" s="77">
        <v>18769.419999999998</v>
      </c>
      <c r="L34" s="77">
        <v>26386.15</v>
      </c>
    </row>
    <row r="35" spans="1:12" x14ac:dyDescent="0.35">
      <c r="A35" s="4" t="s">
        <v>33</v>
      </c>
      <c r="B35" s="21">
        <v>873.53</v>
      </c>
      <c r="C35" s="22">
        <f>B40</f>
        <v>5699.6799999999994</v>
      </c>
      <c r="D35" s="45">
        <f>C40</f>
        <v>2850.3799999999997</v>
      </c>
      <c r="E35" s="49">
        <f>D40</f>
        <v>1327.2399999999993</v>
      </c>
      <c r="F35" s="59"/>
      <c r="G35" s="23"/>
      <c r="H35" s="8" t="s">
        <v>98</v>
      </c>
      <c r="I35" s="77">
        <v>498.95</v>
      </c>
      <c r="J35" s="77">
        <v>63.61</v>
      </c>
      <c r="K35" s="77">
        <v>581.78</v>
      </c>
      <c r="L35" s="77">
        <v>1119.8900000000001</v>
      </c>
    </row>
    <row r="36" spans="1:12" x14ac:dyDescent="0.35">
      <c r="A36" s="4" t="s">
        <v>34</v>
      </c>
      <c r="B36" s="52">
        <v>1114.78</v>
      </c>
      <c r="C36" s="52">
        <v>-6374.33</v>
      </c>
      <c r="D36" s="52">
        <v>-6614.26</v>
      </c>
      <c r="E36" s="52">
        <v>-4608.21</v>
      </c>
      <c r="F36" s="59"/>
      <c r="G36" s="23"/>
      <c r="H36" s="16" t="s">
        <v>31</v>
      </c>
      <c r="I36" s="77">
        <v>32.380000000000003</v>
      </c>
      <c r="J36" s="77">
        <v>35.11</v>
      </c>
      <c r="K36" s="77">
        <f>116.26</f>
        <v>116.26</v>
      </c>
      <c r="L36" s="77">
        <v>209.67</v>
      </c>
    </row>
    <row r="37" spans="1:12" x14ac:dyDescent="0.35">
      <c r="A37" s="8" t="s">
        <v>35</v>
      </c>
      <c r="B37" s="9">
        <v>-724.53</v>
      </c>
      <c r="C37" s="9">
        <v>404.22</v>
      </c>
      <c r="D37" s="9">
        <v>-332.28</v>
      </c>
      <c r="E37" s="9">
        <v>-704.03</v>
      </c>
      <c r="F37" s="59"/>
      <c r="G37" s="23"/>
      <c r="H37" s="11" t="s">
        <v>69</v>
      </c>
      <c r="I37" s="78">
        <f>SUM(I38:I46)</f>
        <v>6449.9800000000005</v>
      </c>
      <c r="J37" s="78">
        <f>SUM(J38:J46)</f>
        <v>7817.55</v>
      </c>
      <c r="K37" s="78">
        <f>SUM(K38:K46)</f>
        <v>13853.220000000001</v>
      </c>
      <c r="L37" s="78">
        <f>SUM(L38:L46)</f>
        <v>19876.560000000001</v>
      </c>
    </row>
    <row r="38" spans="1:12" x14ac:dyDescent="0.35">
      <c r="A38" s="8" t="s">
        <v>37</v>
      </c>
      <c r="B38" s="9">
        <v>4435.8999999999996</v>
      </c>
      <c r="C38" s="9">
        <v>3120.81</v>
      </c>
      <c r="D38" s="9">
        <v>5423.4</v>
      </c>
      <c r="E38" s="9">
        <v>6079.57</v>
      </c>
      <c r="F38" s="59"/>
      <c r="G38" s="23"/>
      <c r="H38" s="8" t="s">
        <v>10</v>
      </c>
      <c r="I38" s="77"/>
      <c r="J38" s="77"/>
      <c r="K38" s="77"/>
      <c r="L38" s="77"/>
    </row>
    <row r="39" spans="1:12" x14ac:dyDescent="0.35">
      <c r="A39" s="4" t="s">
        <v>38</v>
      </c>
      <c r="B39" s="6">
        <f t="shared" ref="B39" si="8">SUM(B36:B38)</f>
        <v>4826.1499999999996</v>
      </c>
      <c r="C39" s="6">
        <f>SUM(C36:C38)</f>
        <v>-2849.2999999999997</v>
      </c>
      <c r="D39" s="7">
        <f>SUM(D36:D38)</f>
        <v>-1523.1400000000003</v>
      </c>
      <c r="E39" s="7">
        <f>SUM(E36:E38)</f>
        <v>767.32999999999993</v>
      </c>
      <c r="F39" s="59"/>
      <c r="G39" s="23"/>
      <c r="H39" s="8" t="s">
        <v>89</v>
      </c>
      <c r="I39" s="77">
        <v>576.14</v>
      </c>
      <c r="J39" s="77">
        <v>2069.12</v>
      </c>
      <c r="K39" s="77">
        <v>3117.52</v>
      </c>
      <c r="L39" s="77">
        <v>8027.85</v>
      </c>
    </row>
    <row r="40" spans="1:12" x14ac:dyDescent="0.35">
      <c r="A40" s="11" t="s">
        <v>39</v>
      </c>
      <c r="B40" s="14">
        <f>B35+B39</f>
        <v>5699.6799999999994</v>
      </c>
      <c r="C40" s="12">
        <f>C35+C39</f>
        <v>2850.3799999999997</v>
      </c>
      <c r="D40" s="27">
        <f>D35+D39</f>
        <v>1327.2399999999993</v>
      </c>
      <c r="E40" s="15">
        <f>E35+E39</f>
        <v>2094.5699999999993</v>
      </c>
      <c r="F40" s="59"/>
      <c r="G40" s="23"/>
      <c r="H40" s="8" t="s">
        <v>90</v>
      </c>
      <c r="I40" s="77">
        <v>3104.32</v>
      </c>
      <c r="J40" s="77">
        <v>4086.04</v>
      </c>
      <c r="K40" s="77">
        <v>9265.2000000000007</v>
      </c>
      <c r="L40" s="77">
        <v>9647.4500000000007</v>
      </c>
    </row>
    <row r="41" spans="1:12" x14ac:dyDescent="0.35">
      <c r="A41" s="69"/>
      <c r="B41" s="69"/>
      <c r="C41" s="69"/>
      <c r="D41" s="69"/>
      <c r="E41" s="43"/>
      <c r="F41" s="59"/>
      <c r="G41" s="23"/>
      <c r="H41" s="8" t="s">
        <v>91</v>
      </c>
      <c r="I41" s="77">
        <v>140.61000000000001</v>
      </c>
      <c r="J41" s="77">
        <v>155.36000000000001</v>
      </c>
      <c r="K41" s="77">
        <v>161.81</v>
      </c>
      <c r="L41" s="77">
        <v>148.96</v>
      </c>
    </row>
    <row r="42" spans="1:12" x14ac:dyDescent="0.35">
      <c r="A42" s="4" t="s">
        <v>40</v>
      </c>
      <c r="B42" s="24" t="s">
        <v>66</v>
      </c>
      <c r="C42" s="5" t="s">
        <v>67</v>
      </c>
      <c r="D42" s="37" t="s">
        <v>70</v>
      </c>
      <c r="E42" s="37" t="s">
        <v>75</v>
      </c>
      <c r="F42" s="59"/>
      <c r="G42" s="23"/>
      <c r="H42" s="8" t="s">
        <v>92</v>
      </c>
      <c r="I42" s="77">
        <f>11.38+238.11</f>
        <v>249.49</v>
      </c>
      <c r="J42" s="77">
        <f>33.6+284.78</f>
        <v>318.38</v>
      </c>
      <c r="K42" s="77">
        <f>78.68+443.3</f>
        <v>521.98</v>
      </c>
      <c r="L42" s="77">
        <f>584.18+464.24</f>
        <v>1048.42</v>
      </c>
    </row>
    <row r="43" spans="1:12" x14ac:dyDescent="0.35">
      <c r="A43" s="11" t="s">
        <v>42</v>
      </c>
      <c r="B43" s="14">
        <f t="shared" ref="B43" si="9">B36</f>
        <v>1114.78</v>
      </c>
      <c r="C43" s="12">
        <f>C36</f>
        <v>-6374.33</v>
      </c>
      <c r="D43" s="15">
        <f>D36</f>
        <v>-6614.26</v>
      </c>
      <c r="E43" s="15">
        <f>E36</f>
        <v>-4608.21</v>
      </c>
      <c r="F43" s="59"/>
      <c r="G43" s="23"/>
      <c r="H43" s="8" t="s">
        <v>93</v>
      </c>
      <c r="I43" s="77">
        <v>2140.4499999999998</v>
      </c>
      <c r="J43" s="77">
        <v>717.83</v>
      </c>
      <c r="K43" s="77">
        <v>497.86</v>
      </c>
      <c r="L43" s="77">
        <v>716.07</v>
      </c>
    </row>
    <row r="44" spans="1:12" x14ac:dyDescent="0.35">
      <c r="A44" s="18" t="s">
        <v>44</v>
      </c>
      <c r="B44" s="25">
        <f>I18+B18</f>
        <v>268.38</v>
      </c>
      <c r="C44" s="25">
        <f>I18-J18+C18</f>
        <v>244.78</v>
      </c>
      <c r="D44" s="38">
        <f>J18-K18+D18</f>
        <v>238.28</v>
      </c>
      <c r="E44" s="38">
        <f>K18-L18+E18</f>
        <v>205.12</v>
      </c>
      <c r="F44" s="59"/>
      <c r="G44" s="23"/>
      <c r="H44" s="8" t="s">
        <v>36</v>
      </c>
      <c r="I44" s="77">
        <v>175.05</v>
      </c>
      <c r="J44" s="77">
        <v>332.09</v>
      </c>
      <c r="K44" s="77">
        <v>192.08</v>
      </c>
      <c r="L44" s="77">
        <v>207.4</v>
      </c>
    </row>
    <row r="45" spans="1:12" x14ac:dyDescent="0.35">
      <c r="A45" s="11" t="s">
        <v>46</v>
      </c>
      <c r="B45" s="14">
        <f t="shared" ref="B45" si="10">SUM(B43:B44)</f>
        <v>1383.1599999999999</v>
      </c>
      <c r="C45" s="12">
        <f t="shared" ref="C45:D45" si="11">SUM(C43:C44)</f>
        <v>-6129.55</v>
      </c>
      <c r="D45" s="15">
        <f t="shared" si="11"/>
        <v>-6375.9800000000005</v>
      </c>
      <c r="E45" s="15">
        <f>SUM(E43:E44)</f>
        <v>-4403.09</v>
      </c>
      <c r="F45" s="59"/>
      <c r="G45" s="23"/>
      <c r="H45" s="8" t="s">
        <v>12</v>
      </c>
      <c r="I45" s="77">
        <v>4.01</v>
      </c>
      <c r="J45" s="77">
        <v>11.09</v>
      </c>
      <c r="K45" s="77">
        <v>16.02</v>
      </c>
      <c r="L45" s="77">
        <v>23.66</v>
      </c>
    </row>
    <row r="46" spans="1:12" x14ac:dyDescent="0.35">
      <c r="A46" s="69"/>
      <c r="B46" s="69"/>
      <c r="C46" s="69"/>
      <c r="D46" s="69"/>
      <c r="E46" s="43"/>
      <c r="F46" s="43"/>
      <c r="G46" s="23"/>
      <c r="H46" s="8" t="s">
        <v>82</v>
      </c>
      <c r="I46" s="77">
        <v>59.91</v>
      </c>
      <c r="J46" s="77">
        <v>127.64</v>
      </c>
      <c r="K46" s="77">
        <v>80.75</v>
      </c>
      <c r="L46" s="77">
        <v>56.75</v>
      </c>
    </row>
    <row r="47" spans="1:12" x14ac:dyDescent="0.35">
      <c r="A47" s="8" t="s">
        <v>50</v>
      </c>
      <c r="B47" s="26">
        <v>4780175</v>
      </c>
      <c r="C47" s="26">
        <v>4780175</v>
      </c>
      <c r="D47" s="26">
        <v>5363087</v>
      </c>
      <c r="E47" s="39">
        <v>168483022</v>
      </c>
      <c r="F47" s="39">
        <v>168483022</v>
      </c>
      <c r="G47" s="23"/>
      <c r="H47" s="11" t="s">
        <v>41</v>
      </c>
      <c r="I47" s="79">
        <f>SUM(I18:I27)+I28</f>
        <v>12751.999999999998</v>
      </c>
      <c r="J47" s="79">
        <f>SUM(J18:J27)+J28</f>
        <v>17965.25</v>
      </c>
      <c r="K47" s="79">
        <f>K28+K17</f>
        <v>27011.039999999997</v>
      </c>
      <c r="L47" s="79">
        <f>L28+L17</f>
        <v>39885.72</v>
      </c>
    </row>
    <row r="48" spans="1:12" x14ac:dyDescent="0.35">
      <c r="A48" s="18" t="s">
        <v>52</v>
      </c>
      <c r="B48" s="38">
        <f>B47*I53/1000000</f>
        <v>47.801749999999998</v>
      </c>
      <c r="C48" s="38">
        <f>C47*J53/1000000</f>
        <v>47.801749999999998</v>
      </c>
      <c r="D48" s="38">
        <f>D47*K53/1000000</f>
        <v>53.630870000000002</v>
      </c>
      <c r="E48" s="38">
        <f>E47*L53/1000000</f>
        <v>35111.861784799999</v>
      </c>
      <c r="F48" s="38">
        <f>F47*M53/1000000</f>
        <v>47149.973706700002</v>
      </c>
      <c r="G48" s="23"/>
      <c r="H48" s="11" t="s">
        <v>43</v>
      </c>
      <c r="I48" s="79">
        <f>I37+I9+I8</f>
        <v>12752</v>
      </c>
      <c r="J48" s="79">
        <f>J37+J9+J8</f>
        <v>17965.25</v>
      </c>
      <c r="K48" s="79">
        <f>K37+K9+K8</f>
        <v>27011.040000000001</v>
      </c>
      <c r="L48" s="79">
        <f>L37+L9+L8</f>
        <v>39885.72</v>
      </c>
    </row>
    <row r="49" spans="1:13" x14ac:dyDescent="0.35">
      <c r="A49" s="18" t="s">
        <v>53</v>
      </c>
      <c r="B49" s="38">
        <f>I12+I40</f>
        <v>3302.7200000000003</v>
      </c>
      <c r="C49" s="38">
        <f>J12+J40</f>
        <v>4584.8500000000004</v>
      </c>
      <c r="D49" s="38">
        <f>K12+K40</f>
        <v>9941.66</v>
      </c>
      <c r="E49" s="38">
        <f>L12+L40</f>
        <v>10922.69</v>
      </c>
      <c r="F49" s="38">
        <f>(1166.4+876.8)*10</f>
        <v>20432</v>
      </c>
      <c r="G49" s="23"/>
    </row>
    <row r="50" spans="1:13" x14ac:dyDescent="0.35">
      <c r="A50" s="18" t="s">
        <v>55</v>
      </c>
      <c r="B50" s="25">
        <f>I32</f>
        <v>5699.68</v>
      </c>
      <c r="C50" s="25">
        <f>J32</f>
        <v>2850.37</v>
      </c>
      <c r="D50" s="38">
        <f>K32</f>
        <v>1327.23</v>
      </c>
      <c r="E50" s="38">
        <f>L32</f>
        <v>2094.56</v>
      </c>
      <c r="F50" s="38">
        <v>6634</v>
      </c>
      <c r="G50" s="23"/>
    </row>
    <row r="51" spans="1:13" x14ac:dyDescent="0.35">
      <c r="A51" s="46" t="s">
        <v>57</v>
      </c>
      <c r="B51" s="47">
        <f>B48+B49-B50</f>
        <v>-2349.15825</v>
      </c>
      <c r="C51" s="47">
        <f>C48+C49-C50</f>
        <v>1782.2817500000001</v>
      </c>
      <c r="D51" s="47">
        <f>D48+D49-D50</f>
        <v>8668.0608700000012</v>
      </c>
      <c r="E51" s="47">
        <f>E48+E49-E50</f>
        <v>43939.991784800004</v>
      </c>
      <c r="F51" s="47">
        <f>F48+F49-F50</f>
        <v>60947.973706699995</v>
      </c>
      <c r="G51" s="23"/>
      <c r="H51" s="72" t="s">
        <v>45</v>
      </c>
      <c r="I51" s="73"/>
      <c r="J51" s="73"/>
      <c r="K51" s="73"/>
      <c r="L51" s="73"/>
      <c r="M51" s="73"/>
    </row>
    <row r="52" spans="1:13" x14ac:dyDescent="0.35">
      <c r="A52" s="70"/>
      <c r="B52" s="68"/>
      <c r="C52" s="68"/>
      <c r="D52" s="68"/>
      <c r="E52" s="68"/>
      <c r="F52" s="68"/>
      <c r="G52" s="23"/>
      <c r="H52" s="4" t="s">
        <v>47</v>
      </c>
      <c r="I52" s="5" t="s">
        <v>66</v>
      </c>
      <c r="J52" s="5" t="s">
        <v>67</v>
      </c>
      <c r="K52" s="37" t="s">
        <v>70</v>
      </c>
      <c r="L52" s="37" t="s">
        <v>75</v>
      </c>
      <c r="M52" s="37" t="s">
        <v>103</v>
      </c>
    </row>
    <row r="53" spans="1:13" x14ac:dyDescent="0.35">
      <c r="A53" s="43"/>
      <c r="B53" s="43"/>
      <c r="C53" s="43"/>
      <c r="D53" s="43"/>
      <c r="E53" s="43"/>
      <c r="F53" s="43"/>
      <c r="G53" s="23"/>
      <c r="H53" s="28" t="s">
        <v>48</v>
      </c>
      <c r="I53" s="9">
        <v>10</v>
      </c>
      <c r="J53" s="9">
        <v>10</v>
      </c>
      <c r="K53" s="10">
        <v>10</v>
      </c>
      <c r="L53" s="10">
        <v>208.4</v>
      </c>
      <c r="M53" s="10">
        <v>279.85000000000002</v>
      </c>
    </row>
    <row r="54" spans="1:13" x14ac:dyDescent="0.35">
      <c r="A54" s="43"/>
      <c r="B54" s="43"/>
      <c r="C54" s="43"/>
      <c r="D54" s="43"/>
      <c r="E54" s="43"/>
      <c r="F54" s="43"/>
      <c r="G54" s="23"/>
      <c r="H54" s="17" t="s">
        <v>49</v>
      </c>
      <c r="I54" s="29">
        <f>B29</f>
        <v>2.5</v>
      </c>
      <c r="J54" s="29">
        <f>C29</f>
        <v>15.54</v>
      </c>
      <c r="K54" s="29">
        <f>D29</f>
        <v>12.79</v>
      </c>
      <c r="L54" s="29">
        <f>E29</f>
        <v>21.39</v>
      </c>
      <c r="M54" s="29">
        <f>F29+L54-4.54</f>
        <v>22.73</v>
      </c>
    </row>
    <row r="55" spans="1:13" x14ac:dyDescent="0.35">
      <c r="B55" s="23"/>
      <c r="C55" s="23"/>
      <c r="D55" s="40"/>
      <c r="E55" s="40"/>
      <c r="F55" s="40"/>
      <c r="G55" s="23"/>
      <c r="H55" s="30" t="s">
        <v>51</v>
      </c>
      <c r="I55" s="31">
        <f>(I8*1000000)/B47</f>
        <v>1184.5465908674892</v>
      </c>
      <c r="J55" s="31">
        <f>(J8*1000000)/C47</f>
        <v>1683.1371236408711</v>
      </c>
      <c r="K55" s="31">
        <f>(K8*1000000)/D47</f>
        <v>1875.7741576819467</v>
      </c>
      <c r="L55" s="31">
        <f>(L8*1000000)/E47</f>
        <v>79.698475493869054</v>
      </c>
      <c r="M55" s="31">
        <v>123.4</v>
      </c>
    </row>
    <row r="56" spans="1:13" x14ac:dyDescent="0.35">
      <c r="B56" s="23"/>
      <c r="C56" s="23"/>
      <c r="D56" s="40"/>
      <c r="E56" s="40"/>
      <c r="F56" s="40"/>
      <c r="G56" s="23"/>
      <c r="H56" s="30" t="s">
        <v>54</v>
      </c>
      <c r="I56" s="32">
        <f>(I53/I54)</f>
        <v>4</v>
      </c>
      <c r="J56" s="32">
        <f>(J53/J54)</f>
        <v>0.64350064350064351</v>
      </c>
      <c r="K56" s="42">
        <f>(K53/K54)</f>
        <v>0.78186082877247853</v>
      </c>
      <c r="L56" s="42">
        <f>(L53/L54)</f>
        <v>9.7428705002337548</v>
      </c>
      <c r="M56" s="42">
        <f>(M53/M54)</f>
        <v>12.311922569291685</v>
      </c>
    </row>
    <row r="57" spans="1:13" x14ac:dyDescent="0.35">
      <c r="B57" s="10"/>
      <c r="C57" s="23"/>
      <c r="D57" s="40"/>
      <c r="E57" s="40"/>
      <c r="F57" s="40"/>
      <c r="G57" s="23"/>
      <c r="H57" s="30" t="s">
        <v>56</v>
      </c>
      <c r="I57" s="32">
        <f>(I53/I55)</f>
        <v>8.4420486936496227E-3</v>
      </c>
      <c r="J57" s="32">
        <f>(J53/J55)</f>
        <v>5.941286577036897E-3</v>
      </c>
      <c r="K57" s="32">
        <f>(K53/K55)</f>
        <v>5.3311321936313745E-3</v>
      </c>
      <c r="L57" s="32">
        <f>(L53/L55)</f>
        <v>2.6148555378080167</v>
      </c>
      <c r="M57" s="32">
        <f>(M53/M55)</f>
        <v>2.2678282009724473</v>
      </c>
    </row>
    <row r="58" spans="1:13" x14ac:dyDescent="0.35">
      <c r="G58" s="23"/>
      <c r="H58" s="30" t="s">
        <v>58</v>
      </c>
      <c r="I58" s="32">
        <f>B51/B14</f>
        <v>-2.9123120265797233</v>
      </c>
      <c r="J58" s="32">
        <f>C51/C14</f>
        <v>0.53505585376251119</v>
      </c>
      <c r="K58" s="32">
        <f>D51/D14</f>
        <v>2.2332017338881096</v>
      </c>
      <c r="L58" s="32">
        <f>E51/E14</f>
        <v>6.7530482910358431</v>
      </c>
      <c r="M58" s="32">
        <f>F51/F14</f>
        <v>29.394758302281719</v>
      </c>
    </row>
    <row r="59" spans="1:13" x14ac:dyDescent="0.35">
      <c r="G59" s="23"/>
      <c r="H59" s="19" t="s">
        <v>59</v>
      </c>
      <c r="I59" s="33">
        <f>B23/AVERAGE(H8,I8)</f>
        <v>4.8861424781980467E-2</v>
      </c>
      <c r="J59" s="33">
        <f>C23/AVERAGE(I8,J8)</f>
        <v>0.28784588303352127</v>
      </c>
      <c r="K59" s="33">
        <f>D23/AVERAGE(J8,K8)</f>
        <v>0.17742657946727061</v>
      </c>
      <c r="L59" s="33">
        <f>E23/AVERAGE(K8,L8)</f>
        <v>0.23965823930571542</v>
      </c>
      <c r="M59" s="33">
        <v>0.21199999999999999</v>
      </c>
    </row>
    <row r="60" spans="1:13" x14ac:dyDescent="0.35">
      <c r="G60" s="23"/>
      <c r="H60" s="19" t="s">
        <v>60</v>
      </c>
      <c r="I60" s="33">
        <f>(B14-B18)/I16</f>
        <v>9.9661695773735959E-2</v>
      </c>
      <c r="J60" s="33">
        <f>(C14-C18)/J16</f>
        <v>0.30570868275569835</v>
      </c>
      <c r="K60" s="33">
        <f>(D14-D18)/K16</f>
        <v>0.27773825755330289</v>
      </c>
      <c r="L60" s="33">
        <f>(E14-E18)/L16</f>
        <v>0.31438201303802854</v>
      </c>
      <c r="M60" s="33" t="s">
        <v>105</v>
      </c>
    </row>
    <row r="61" spans="1:13" x14ac:dyDescent="0.35">
      <c r="G61" s="23"/>
      <c r="H61" s="30" t="s">
        <v>61</v>
      </c>
      <c r="I61" s="51">
        <f>I10/I8</f>
        <v>0</v>
      </c>
      <c r="J61" s="51">
        <f>J10/J8</f>
        <v>0</v>
      </c>
      <c r="K61" s="51">
        <f>K12/K8</f>
        <v>6.7242945782976848E-2</v>
      </c>
      <c r="L61" s="51">
        <f>L12/L8</f>
        <v>9.4969853677136451E-2</v>
      </c>
      <c r="M61" s="51">
        <v>0.9</v>
      </c>
    </row>
    <row r="62" spans="1:13" x14ac:dyDescent="0.35">
      <c r="G62" s="23"/>
      <c r="H62" s="30" t="s">
        <v>62</v>
      </c>
      <c r="I62" s="51">
        <f>(I10-I32-I33)/I8</f>
        <v>-1.1678546325370782</v>
      </c>
      <c r="J62" s="51">
        <f>(J10-J32-J33)/J8</f>
        <v>-0.39546639256546046</v>
      </c>
      <c r="K62" s="51">
        <f>(K12-K32-K33)/K8</f>
        <v>-7.6389123593182479E-2</v>
      </c>
      <c r="L62" s="51">
        <f>(L12-L32-L33)/L8</f>
        <v>-8.4664398741718688E-2</v>
      </c>
      <c r="M62" s="51">
        <f>+(F49-F50)/22451</f>
        <v>0.61458286935993944</v>
      </c>
    </row>
    <row r="63" spans="1:13" x14ac:dyDescent="0.35">
      <c r="G63" s="23"/>
      <c r="H63" s="30" t="s">
        <v>100</v>
      </c>
      <c r="I63" s="33">
        <v>5.0000000000000001E-4</v>
      </c>
      <c r="J63" s="33">
        <v>7.9000000000000008E-3</v>
      </c>
      <c r="K63" s="33">
        <v>2.8899999999999999E-2</v>
      </c>
      <c r="L63" s="33">
        <v>2.12E-2</v>
      </c>
      <c r="M63" s="33">
        <v>2.2499999999999999E-2</v>
      </c>
    </row>
    <row r="64" spans="1:13" x14ac:dyDescent="0.35">
      <c r="G64" s="23"/>
      <c r="H64" s="30" t="s">
        <v>101</v>
      </c>
      <c r="I64" s="48">
        <v>0</v>
      </c>
      <c r="J64" s="48">
        <v>0</v>
      </c>
      <c r="K64" s="33">
        <v>2.5000000000000001E-3</v>
      </c>
      <c r="L64" s="33">
        <v>2.8999999999999998E-3</v>
      </c>
      <c r="M64" s="33">
        <v>3.5999999999999999E-3</v>
      </c>
    </row>
    <row r="65" spans="7:13" x14ac:dyDescent="0.35">
      <c r="G65" s="23"/>
      <c r="H65" s="30" t="s">
        <v>102</v>
      </c>
      <c r="I65" s="48">
        <v>0.21129999999999999</v>
      </c>
      <c r="J65" s="48">
        <v>0.25769999999999998</v>
      </c>
      <c r="K65" s="48">
        <v>0.25180000000000002</v>
      </c>
      <c r="L65" s="48">
        <v>0.253</v>
      </c>
      <c r="M65" s="48">
        <v>0.40200000000000002</v>
      </c>
    </row>
    <row r="66" spans="7:13" x14ac:dyDescent="0.35">
      <c r="G66" s="23"/>
      <c r="H66" s="30" t="s">
        <v>74</v>
      </c>
      <c r="I66" s="50">
        <f>B14/B19</f>
        <v>1.4429358520267597</v>
      </c>
      <c r="J66" s="50">
        <f>C14/C19</f>
        <v>4.8529553169480915</v>
      </c>
      <c r="K66" s="50">
        <f>D14/D19</f>
        <v>2.3609505967080686</v>
      </c>
      <c r="L66" s="50">
        <f>E14/E19</f>
        <v>2.3052850122763067</v>
      </c>
      <c r="M66" s="50">
        <f>F14/F19</f>
        <v>2.5324335877862598</v>
      </c>
    </row>
    <row r="67" spans="7:13" x14ac:dyDescent="0.35">
      <c r="G67" s="23"/>
      <c r="H67" s="30" t="s">
        <v>106</v>
      </c>
      <c r="I67" s="48">
        <v>0.20518</v>
      </c>
      <c r="J67" s="48">
        <v>0.13139999999999999</v>
      </c>
      <c r="K67" s="48">
        <v>2.8000000000000001E-2</v>
      </c>
      <c r="L67" s="48">
        <v>0.03</v>
      </c>
      <c r="M67" s="48">
        <v>3.4000000000000002E-2</v>
      </c>
    </row>
    <row r="68" spans="7:13" x14ac:dyDescent="0.35">
      <c r="G68" s="23"/>
      <c r="H68" s="30" t="s">
        <v>107</v>
      </c>
      <c r="I68" s="48">
        <v>0.92637700000000001</v>
      </c>
      <c r="J68" s="48">
        <v>0.74278999999999995</v>
      </c>
      <c r="K68" s="48">
        <v>0.59199999999999997</v>
      </c>
      <c r="L68" s="48">
        <v>0.75600000000000001</v>
      </c>
      <c r="M68" s="48">
        <v>0.80400000000000005</v>
      </c>
    </row>
    <row r="69" spans="7:13" x14ac:dyDescent="0.35">
      <c r="G69" s="23"/>
      <c r="H69" s="30" t="s">
        <v>108</v>
      </c>
      <c r="I69" s="48">
        <v>1</v>
      </c>
      <c r="J69" s="48">
        <v>1</v>
      </c>
      <c r="K69" s="48">
        <v>0.91500000000000004</v>
      </c>
      <c r="L69" s="48">
        <v>0.86199999999999999</v>
      </c>
      <c r="M69" s="48">
        <v>0.84099999999999997</v>
      </c>
    </row>
    <row r="70" spans="7:13" x14ac:dyDescent="0.35">
      <c r="G70" s="23"/>
      <c r="H70" s="34" t="s">
        <v>63</v>
      </c>
      <c r="I70" s="71" t="s">
        <v>99</v>
      </c>
      <c r="J70" s="71"/>
      <c r="K70" s="71"/>
      <c r="L70" s="71"/>
      <c r="M70" s="71"/>
    </row>
    <row r="71" spans="7:13" x14ac:dyDescent="0.35">
      <c r="G71" s="23"/>
      <c r="I71" s="35"/>
      <c r="J71" s="35"/>
    </row>
    <row r="72" spans="7:13" x14ac:dyDescent="0.35">
      <c r="G72" s="23"/>
      <c r="I72" s="35"/>
      <c r="J72" s="35"/>
    </row>
    <row r="73" spans="7:13" x14ac:dyDescent="0.35">
      <c r="G73" s="23"/>
      <c r="I73" s="35"/>
      <c r="J73" s="35"/>
    </row>
    <row r="74" spans="7:13" x14ac:dyDescent="0.35">
      <c r="G74" s="23"/>
      <c r="I74" s="35"/>
      <c r="J74" s="35"/>
    </row>
    <row r="75" spans="7:13" x14ac:dyDescent="0.35">
      <c r="G75" s="23"/>
      <c r="I75" s="74"/>
      <c r="J75" s="74"/>
    </row>
    <row r="76" spans="7:13" x14ac:dyDescent="0.35">
      <c r="I76" s="75"/>
      <c r="J76" s="75"/>
    </row>
    <row r="86" hidden="1" x14ac:dyDescent="0.35"/>
  </sheetData>
  <mergeCells count="11">
    <mergeCell ref="A41:D41"/>
    <mergeCell ref="A46:D46"/>
    <mergeCell ref="A3:E3"/>
    <mergeCell ref="A52:F52"/>
    <mergeCell ref="I70:M70"/>
    <mergeCell ref="H51:M51"/>
    <mergeCell ref="A1:L1"/>
    <mergeCell ref="A2:L2"/>
    <mergeCell ref="A33:E33"/>
    <mergeCell ref="H3:L3"/>
    <mergeCell ref="A32:D32"/>
  </mergeCells>
  <phoneticPr fontId="12" type="noConversion"/>
  <printOptions horizontalCentered="1"/>
  <pageMargins left="0" right="0" top="0" bottom="0" header="0" footer="0"/>
  <pageSetup paperSize="9" scale="54" fitToWidth="0" orientation="landscape" r:id="rId1"/>
  <ignoredErrors>
    <ignoredError sqref="C39 B39 I17:J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2022-04-21T08:47:11Z</dcterms:created>
  <dcterms:modified xsi:type="dcterms:W3CDTF">2026-08-20T09:12:45Z</dcterms:modified>
</cp:coreProperties>
</file>