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LMEL\"/>
    </mc:Choice>
  </mc:AlternateContent>
  <xr:revisionPtr revIDLastSave="0" documentId="13_ncr:1_{98C84DF5-6007-4AD6-B25C-6E78449E8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" i="1" l="1"/>
  <c r="AA59" i="1"/>
  <c r="AA61" i="1"/>
  <c r="M32" i="1"/>
  <c r="M18" i="1"/>
  <c r="M15" i="1"/>
  <c r="M9" i="1"/>
  <c r="M55" i="1"/>
  <c r="AA60" i="1"/>
  <c r="M31" i="1"/>
  <c r="M26" i="1"/>
  <c r="M24" i="1"/>
  <c r="M21" i="1"/>
  <c r="M19" i="1"/>
  <c r="M14" i="1"/>
  <c r="M10" i="1"/>
  <c r="M5" i="1"/>
  <c r="M4" i="1"/>
  <c r="Y16" i="1"/>
  <c r="AD16" i="1" s="1"/>
  <c r="Y26" i="1"/>
  <c r="K14" i="1"/>
  <c r="K9" i="1"/>
  <c r="K4" i="1"/>
  <c r="Z59" i="1"/>
  <c r="Z61" i="1" s="1"/>
  <c r="Z70" i="1"/>
  <c r="Z69" i="1"/>
  <c r="L46" i="1"/>
  <c r="Z25" i="1"/>
  <c r="L38" i="1"/>
  <c r="L37" i="1"/>
  <c r="L4" i="1"/>
  <c r="M6" i="1" l="1"/>
  <c r="Z68" i="1"/>
  <c r="Z71" i="1" s="1"/>
  <c r="Z72" i="1"/>
  <c r="L9" i="1"/>
  <c r="L6" i="1"/>
  <c r="Z6" i="1"/>
  <c r="K50" i="1"/>
  <c r="L50" i="1"/>
  <c r="L55" i="1"/>
  <c r="Z38" i="1"/>
  <c r="Z54" i="1" s="1"/>
  <c r="Z16" i="1"/>
  <c r="AB16" i="1" s="1"/>
  <c r="Z26" i="1"/>
  <c r="AB25" i="1" s="1"/>
  <c r="Z11" i="1"/>
  <c r="L58" i="1"/>
  <c r="L57" i="1"/>
  <c r="K57" i="1"/>
  <c r="L49" i="1"/>
  <c r="L51" i="1" s="1"/>
  <c r="M23" i="1" l="1"/>
  <c r="M25" i="1" s="1"/>
  <c r="M27" i="1" s="1"/>
  <c r="Z66" i="1"/>
  <c r="L56" i="1"/>
  <c r="Z67" i="1"/>
  <c r="Z60" i="1"/>
  <c r="Z62" i="1" s="1"/>
  <c r="L15" i="1"/>
  <c r="Z73" i="1" s="1"/>
  <c r="Z12" i="1"/>
  <c r="AB36" i="1"/>
  <c r="L59" i="1"/>
  <c r="Z63" i="1" s="1"/>
  <c r="Z53" i="1"/>
  <c r="Z13" i="1" s="1"/>
  <c r="Z46" i="1"/>
  <c r="Y11" i="1"/>
  <c r="K56" i="1" s="1"/>
  <c r="J26" i="1"/>
  <c r="K8" i="1"/>
  <c r="J4" i="1"/>
  <c r="Y59" i="1"/>
  <c r="Y61" i="1" s="1"/>
  <c r="K55" i="1"/>
  <c r="K49" i="1"/>
  <c r="K51" i="1" s="1"/>
  <c r="J49" i="1"/>
  <c r="J45" i="1"/>
  <c r="K45" i="1"/>
  <c r="Y38" i="1"/>
  <c r="Y6" i="1"/>
  <c r="Y12" i="1" s="1"/>
  <c r="J38" i="1"/>
  <c r="J37" i="1"/>
  <c r="K38" i="1"/>
  <c r="K37" i="1"/>
  <c r="J8" i="1" l="1"/>
  <c r="Y54" i="1"/>
  <c r="M30" i="1"/>
  <c r="L18" i="1"/>
  <c r="L23" i="1"/>
  <c r="J6" i="1"/>
  <c r="Y53" i="1"/>
  <c r="Y66" i="1"/>
  <c r="Y46" i="1"/>
  <c r="Z74" i="1" s="1"/>
  <c r="K6" i="1"/>
  <c r="K15" i="1" s="1"/>
  <c r="K23" i="1" s="1"/>
  <c r="Y67" i="1"/>
  <c r="Y72" i="1"/>
  <c r="Y68" i="1"/>
  <c r="K58" i="1"/>
  <c r="K59" i="1" s="1"/>
  <c r="Y60" i="1"/>
  <c r="Y62" i="1" s="1"/>
  <c r="X11" i="1"/>
  <c r="W11" i="1"/>
  <c r="I56" i="1" s="1"/>
  <c r="K26" i="1"/>
  <c r="L25" i="1" l="1"/>
  <c r="Z65" i="1"/>
  <c r="K7" i="1"/>
  <c r="L7" i="1"/>
  <c r="L27" i="1"/>
  <c r="AB52" i="1"/>
  <c r="Y69" i="1"/>
  <c r="Y70" i="1"/>
  <c r="J56" i="1"/>
  <c r="Y13" i="1"/>
  <c r="J58" i="1"/>
  <c r="J57" i="1"/>
  <c r="J10" i="1"/>
  <c r="J9" i="1" s="1"/>
  <c r="J15" i="1" s="1"/>
  <c r="X73" i="1" l="1"/>
  <c r="Z64" i="1"/>
  <c r="K18" i="1"/>
  <c r="Y73" i="1"/>
  <c r="L16" i="1"/>
  <c r="L32" i="1"/>
  <c r="L30" i="1"/>
  <c r="Y71" i="1"/>
  <c r="J23" i="1"/>
  <c r="J25" i="1" s="1"/>
  <c r="J27" i="1" s="1"/>
  <c r="J18" i="1"/>
  <c r="Y63" i="1"/>
  <c r="X68" i="1"/>
  <c r="X6" i="1"/>
  <c r="V6" i="1"/>
  <c r="U6" i="1"/>
  <c r="T6" i="1"/>
  <c r="X67" i="1" l="1"/>
  <c r="X66" i="1"/>
  <c r="X64" i="1"/>
  <c r="J32" i="1"/>
  <c r="J30" i="1"/>
  <c r="K25" i="1"/>
  <c r="K27" i="1" s="1"/>
  <c r="Y65" i="1"/>
  <c r="X12" i="1"/>
  <c r="I37" i="1"/>
  <c r="I38" i="1"/>
  <c r="K30" i="1" l="1"/>
  <c r="L28" i="1"/>
  <c r="Y64" i="1"/>
  <c r="K32" i="1"/>
  <c r="L33" i="1" s="1"/>
  <c r="X59" i="1"/>
  <c r="X38" i="1" l="1"/>
  <c r="X26" i="1"/>
  <c r="X16" i="1"/>
  <c r="K16" i="1" l="1"/>
  <c r="X46" i="1"/>
  <c r="Y74" i="1" s="1"/>
  <c r="X65" i="1"/>
  <c r="X53" i="1"/>
  <c r="X13" i="1" s="1"/>
  <c r="X54" i="1"/>
  <c r="X60" i="1"/>
  <c r="I24" i="1" l="1"/>
  <c r="K33" i="1" l="1"/>
  <c r="K28" i="1"/>
  <c r="I55" i="1"/>
  <c r="W59" i="1"/>
  <c r="W47" i="1"/>
  <c r="W51" i="1"/>
  <c r="W43" i="1"/>
  <c r="W42" i="1"/>
  <c r="W41" i="1"/>
  <c r="W40" i="1"/>
  <c r="W39" i="1"/>
  <c r="X69" i="1" s="1"/>
  <c r="W35" i="1"/>
  <c r="W37" i="1"/>
  <c r="W33" i="1"/>
  <c r="W32" i="1"/>
  <c r="I58" i="1" s="1"/>
  <c r="W31" i="1"/>
  <c r="W30" i="1"/>
  <c r="W27" i="1"/>
  <c r="W25" i="1"/>
  <c r="W24" i="1"/>
  <c r="W21" i="1"/>
  <c r="I57" i="1" l="1"/>
  <c r="J41" i="1"/>
  <c r="J46" i="1" s="1"/>
  <c r="K41" i="1" s="1"/>
  <c r="K46" i="1" s="1"/>
  <c r="X70" i="1"/>
  <c r="X71" i="1" s="1"/>
  <c r="W20" i="1"/>
  <c r="W19" i="1"/>
  <c r="W17" i="1"/>
  <c r="W5" i="1"/>
  <c r="W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I8" i="1" l="1"/>
  <c r="L8" i="1"/>
  <c r="X72" i="1"/>
  <c r="J50" i="1"/>
  <c r="J51" i="1" s="1"/>
  <c r="I45" i="1"/>
  <c r="W6" i="1"/>
  <c r="W60" i="1" s="1"/>
  <c r="W62" i="1" s="1"/>
  <c r="I6" i="1"/>
  <c r="J7" i="1" s="1"/>
  <c r="I50" i="1"/>
  <c r="W72" i="1"/>
  <c r="W68" i="1"/>
  <c r="W70" i="1"/>
  <c r="W69" i="1"/>
  <c r="V59" i="1"/>
  <c r="D49" i="1"/>
  <c r="E49" i="1"/>
  <c r="F49" i="1"/>
  <c r="G49" i="1"/>
  <c r="H49" i="1"/>
  <c r="C49" i="1"/>
  <c r="I41" i="1"/>
  <c r="V68" i="1"/>
  <c r="V72" i="1"/>
  <c r="V11" i="1"/>
  <c r="H55" i="1"/>
  <c r="C6" i="1"/>
  <c r="H9" i="1"/>
  <c r="V69" i="1" s="1"/>
  <c r="I46" i="1" l="1"/>
  <c r="I59" i="1"/>
  <c r="W67" i="1"/>
  <c r="W66" i="1"/>
  <c r="W71" i="1"/>
  <c r="I49" i="1"/>
  <c r="I51" i="1" s="1"/>
  <c r="W16" i="1"/>
  <c r="W38" i="1"/>
  <c r="W54" i="1" s="1"/>
  <c r="W26" i="1"/>
  <c r="V70" i="1"/>
  <c r="V71" i="1" s="1"/>
  <c r="W12" i="1"/>
  <c r="I9" i="1"/>
  <c r="I15" i="1" s="1"/>
  <c r="J16" i="1" l="1"/>
  <c r="W73" i="1"/>
  <c r="L17" i="1"/>
  <c r="W46" i="1"/>
  <c r="X74" i="1" s="1"/>
  <c r="W53" i="1"/>
  <c r="W13" i="1" s="1"/>
  <c r="V61" i="1"/>
  <c r="W63" i="1" l="1"/>
  <c r="I23" i="1"/>
  <c r="I18" i="1"/>
  <c r="H58" i="1"/>
  <c r="H50" i="1"/>
  <c r="I25" i="1" l="1"/>
  <c r="I27" i="1" s="1"/>
  <c r="W65" i="1"/>
  <c r="E9" i="1"/>
  <c r="E15" i="1" s="1"/>
  <c r="E23" i="1" s="1"/>
  <c r="J28" i="1" l="1"/>
  <c r="L29" i="1"/>
  <c r="W64" i="1"/>
  <c r="I32" i="1"/>
  <c r="E6" i="1"/>
  <c r="Q26" i="1"/>
  <c r="Q16" i="1"/>
  <c r="Q5" i="1"/>
  <c r="C14" i="1"/>
  <c r="C9" i="1" s="1"/>
  <c r="Q68" i="1"/>
  <c r="J33" i="1" l="1"/>
  <c r="L34" i="1"/>
  <c r="P6" i="1"/>
  <c r="P12" i="1" s="1"/>
  <c r="C50" i="1"/>
  <c r="E50" i="1"/>
  <c r="F50" i="1"/>
  <c r="G50" i="1"/>
  <c r="G51" i="1" s="1"/>
  <c r="P26" i="1"/>
  <c r="P16" i="1"/>
  <c r="P38" i="1"/>
  <c r="P11" i="1"/>
  <c r="P53" i="1" l="1"/>
  <c r="P13" i="1" s="1"/>
  <c r="V60" i="1"/>
  <c r="V67" i="1"/>
  <c r="V66" i="1"/>
  <c r="V12" i="1"/>
  <c r="P46" i="1"/>
  <c r="P54" i="1"/>
  <c r="G45" i="1"/>
  <c r="G46" i="1" s="1"/>
  <c r="H37" i="1"/>
  <c r="V26" i="1" l="1"/>
  <c r="H45" i="1"/>
  <c r="H46" i="1" s="1"/>
  <c r="H38" i="1"/>
  <c r="G8" i="1"/>
  <c r="G9" i="1" l="1"/>
  <c r="H6" i="1"/>
  <c r="I7" i="1" l="1"/>
  <c r="G15" i="1"/>
  <c r="H15" i="1"/>
  <c r="D4" i="3"/>
  <c r="D57" i="1"/>
  <c r="C57" i="1"/>
  <c r="U16" i="1"/>
  <c r="U26" i="1"/>
  <c r="U11" i="1"/>
  <c r="T11" i="1"/>
  <c r="V16" i="1"/>
  <c r="V38" i="1"/>
  <c r="U38" i="1"/>
  <c r="S38" i="1"/>
  <c r="R38" i="1"/>
  <c r="R11" i="1"/>
  <c r="S26" i="1"/>
  <c r="R26" i="1"/>
  <c r="Q11" i="1"/>
  <c r="C56" i="1" s="1"/>
  <c r="S11" i="1"/>
  <c r="Q38" i="1"/>
  <c r="J17" i="1" l="1"/>
  <c r="U73" i="1"/>
  <c r="K17" i="1"/>
  <c r="V73" i="1"/>
  <c r="G23" i="1"/>
  <c r="H23" i="1"/>
  <c r="H25" i="1" s="1"/>
  <c r="H27" i="1" s="1"/>
  <c r="I16" i="1"/>
  <c r="H18" i="1"/>
  <c r="V46" i="1"/>
  <c r="V54" i="1"/>
  <c r="H16" i="1"/>
  <c r="Q46" i="1"/>
  <c r="H51" i="1"/>
  <c r="U53" i="1"/>
  <c r="U13" i="1" s="1"/>
  <c r="R46" i="1"/>
  <c r="I28" i="1" l="1"/>
  <c r="K29" i="1"/>
  <c r="V65" i="1"/>
  <c r="W74" i="1"/>
  <c r="H32" i="1"/>
  <c r="H30" i="1"/>
  <c r="Q6" i="1"/>
  <c r="Q59" i="1"/>
  <c r="Q61" i="1" s="1"/>
  <c r="C55" i="1"/>
  <c r="E55" i="1"/>
  <c r="I33" i="1" l="1"/>
  <c r="K34" i="1"/>
  <c r="Q60" i="1"/>
  <c r="Q62" i="1" s="1"/>
  <c r="Q54" i="1"/>
  <c r="Q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T73" i="1" s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G7" i="1" l="1"/>
  <c r="H7" i="1"/>
  <c r="C18" i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Q72" i="1"/>
  <c r="E21" i="3" l="1"/>
  <c r="E22" i="3" s="1"/>
  <c r="H24" i="3"/>
  <c r="D21" i="3"/>
  <c r="C21" i="3"/>
  <c r="C22" i="3" s="1"/>
  <c r="V64" i="1"/>
  <c r="V62" i="1"/>
  <c r="C27" i="1"/>
  <c r="H56" i="1"/>
  <c r="H59" i="1" s="1"/>
  <c r="V63" i="1" s="1"/>
  <c r="V53" i="1"/>
  <c r="V13" i="1" s="1"/>
  <c r="D22" i="3"/>
  <c r="D55" i="1"/>
  <c r="F55" i="1"/>
  <c r="C30" i="1" l="1"/>
  <c r="Q64" i="1"/>
  <c r="S72" i="1"/>
  <c r="T72" i="1"/>
  <c r="U72" i="1"/>
  <c r="R72" i="1"/>
  <c r="D50" i="1" l="1"/>
  <c r="S68" i="1" l="1"/>
  <c r="T68" i="1"/>
  <c r="U68" i="1"/>
  <c r="R68" i="1"/>
  <c r="R59" i="1"/>
  <c r="R61" i="1" s="1"/>
  <c r="S59" i="1"/>
  <c r="S61" i="1" s="1"/>
  <c r="T59" i="1"/>
  <c r="T61" i="1" s="1"/>
  <c r="U59" i="1"/>
  <c r="U61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T38" i="1" l="1"/>
  <c r="T26" i="1"/>
  <c r="T16" i="1"/>
  <c r="S16" i="1"/>
  <c r="R16" i="1"/>
  <c r="R53" i="1" s="1"/>
  <c r="R13" i="1" s="1"/>
  <c r="U54" i="1"/>
  <c r="S6" i="1"/>
  <c r="S54" i="1" s="1"/>
  <c r="R6" i="1"/>
  <c r="R54" i="1" s="1"/>
  <c r="T53" i="1" l="1"/>
  <c r="T13" i="1" s="1"/>
  <c r="T54" i="1"/>
  <c r="Q53" i="1"/>
  <c r="Q13" i="1" s="1"/>
  <c r="S53" i="1"/>
  <c r="S13" i="1" s="1"/>
  <c r="S12" i="1"/>
  <c r="S60" i="1"/>
  <c r="S62" i="1" s="1"/>
  <c r="U12" i="1"/>
  <c r="U65" i="1" s="1"/>
  <c r="U60" i="1"/>
  <c r="U62" i="1" s="1"/>
  <c r="U46" i="1"/>
  <c r="V74" i="1" s="1"/>
  <c r="S67" i="1"/>
  <c r="S66" i="1"/>
  <c r="E56" i="1"/>
  <c r="E59" i="1" s="1"/>
  <c r="T46" i="1"/>
  <c r="R12" i="1"/>
  <c r="R60" i="1"/>
  <c r="R62" i="1" s="1"/>
  <c r="T66" i="1"/>
  <c r="T67" i="1"/>
  <c r="F56" i="1"/>
  <c r="F59" i="1" s="1"/>
  <c r="U67" i="1"/>
  <c r="U66" i="1"/>
  <c r="G56" i="1"/>
  <c r="G59" i="1" s="1"/>
  <c r="U63" i="1" s="1"/>
  <c r="T12" i="1"/>
  <c r="T60" i="1"/>
  <c r="T62" i="1" s="1"/>
  <c r="Q67" i="1"/>
  <c r="Q66" i="1"/>
  <c r="C59" i="1"/>
  <c r="Q63" i="1" s="1"/>
  <c r="S46" i="1"/>
  <c r="R67" i="1"/>
  <c r="R66" i="1"/>
  <c r="D56" i="1"/>
  <c r="D59" i="1" s="1"/>
  <c r="R74" i="1" l="1"/>
  <c r="Q74" i="1"/>
  <c r="S74" i="1"/>
  <c r="U74" i="1"/>
  <c r="T74" i="1"/>
  <c r="E7" i="1"/>
  <c r="D37" i="1"/>
  <c r="E37" i="1"/>
  <c r="F37" i="1"/>
  <c r="G37" i="1"/>
  <c r="F38" i="1"/>
  <c r="G38" i="1"/>
  <c r="Q69" i="1" l="1"/>
  <c r="Q70" i="1"/>
  <c r="R70" i="1"/>
  <c r="R69" i="1"/>
  <c r="S70" i="1"/>
  <c r="S69" i="1"/>
  <c r="T63" i="1"/>
  <c r="T70" i="1"/>
  <c r="T69" i="1"/>
  <c r="U70" i="1"/>
  <c r="U69" i="1"/>
  <c r="D16" i="1" l="1"/>
  <c r="E16" i="1"/>
  <c r="R63" i="1"/>
  <c r="D18" i="1"/>
  <c r="S63" i="1"/>
  <c r="G17" i="1"/>
  <c r="G16" i="1"/>
  <c r="D27" i="1"/>
  <c r="R64" i="1" s="1"/>
  <c r="G27" i="1"/>
  <c r="J29" i="1" s="1"/>
  <c r="T65" i="1"/>
  <c r="T71" i="1"/>
  <c r="Q71" i="1"/>
  <c r="U71" i="1"/>
  <c r="E18" i="1"/>
  <c r="C51" i="1"/>
  <c r="Q65" i="1"/>
  <c r="S71" i="1"/>
  <c r="F17" i="1"/>
  <c r="R71" i="1"/>
  <c r="F18" i="1"/>
  <c r="G30" i="1" l="1"/>
  <c r="H28" i="1"/>
  <c r="U64" i="1"/>
  <c r="E51" i="1"/>
  <c r="G28" i="1"/>
  <c r="G32" i="1"/>
  <c r="J34" i="1" s="1"/>
  <c r="C32" i="1"/>
  <c r="G29" i="1"/>
  <c r="R65" i="1"/>
  <c r="D51" i="1"/>
  <c r="T64" i="1"/>
  <c r="E27" i="1"/>
  <c r="H29" i="1" s="1"/>
  <c r="F51" i="1"/>
  <c r="S65" i="1"/>
  <c r="F32" i="1"/>
  <c r="I34" i="1" s="1"/>
  <c r="D28" i="1"/>
  <c r="D32" i="1"/>
  <c r="D30" i="1"/>
  <c r="G33" i="1" l="1"/>
  <c r="H33" i="1"/>
  <c r="S64" i="1"/>
  <c r="F28" i="1"/>
  <c r="F30" i="1"/>
  <c r="F29" i="1"/>
  <c r="D33" i="1"/>
  <c r="E28" i="1"/>
  <c r="E32" i="1"/>
  <c r="H34" i="1" s="1"/>
  <c r="F34" i="1"/>
  <c r="G34" i="1"/>
  <c r="E30" i="1"/>
  <c r="F33" i="1" l="1"/>
  <c r="X62" i="1" l="1"/>
  <c r="J55" i="1"/>
  <c r="X61" i="1"/>
  <c r="J59" i="1" l="1"/>
  <c r="X63" i="1" s="1"/>
</calcChain>
</file>

<file path=xl/sharedStrings.xml><?xml version="1.0" encoding="utf-8"?>
<sst xmlns="http://schemas.openxmlformats.org/spreadsheetml/2006/main" count="303" uniqueCount="159">
  <si>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</si>
  <si>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</si>
  <si>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</si>
  <si>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</si>
  <si>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</si>
  <si>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</si>
  <si>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</si>
  <si>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</si>
  <si>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</si>
  <si>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</si>
  <si>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</si>
  <si>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</si>
  <si>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</si>
  <si>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</si>
  <si>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</si>
  <si>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</si>
  <si>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</si>
  <si>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</si>
  <si>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</si>
  <si>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</si>
  <si>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</si>
  <si>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</si>
  <si>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</si>
  <si>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</si>
  <si>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</si>
  <si>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</si>
  <si>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</si>
  <si>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</si>
  <si>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</si>
  <si>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</si>
  <si>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</si>
  <si>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</si>
  <si>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</si>
  <si>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</si>
  <si>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</si>
  <si>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</si>
  <si>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</si>
  <si>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</si>
  <si>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</si>
  <si>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</si>
  <si>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</si>
  <si>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</si>
  <si>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</si>
  <si>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</si>
  <si>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</si>
  <si>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</si>
  <si>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</si>
  <si>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</si>
  <si>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</si>
  <si>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</si>
  <si>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</si>
  <si>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</si>
  <si>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</si>
  <si>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</si>
  <si>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</si>
  <si>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</si>
  <si>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</si>
  <si>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</si>
  <si>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</si>
  <si>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</si>
  <si>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</si>
  <si>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</si>
  <si>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</si>
  <si>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</si>
  <si>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</si>
  <si>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</si>
  <si>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</si>
  <si>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</si>
  <si>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</si>
  <si>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</si>
  <si>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</si>
  <si>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</si>
  <si>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</si>
  <si>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</si>
  <si>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</si>
  <si>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</si>
  <si>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</si>
  <si>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</si>
  <si>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</si>
  <si>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</si>
  <si>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</si>
  <si>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</si>
  <si>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</si>
  <si>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</si>
  <si>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</si>
  <si>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</si>
  <si>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</si>
  <si>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</si>
  <si>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</si>
  <si>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</si>
  <si>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</si>
  <si>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</si>
  <si>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</si>
  <si>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</si>
  <si>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</si>
  <si>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</si>
  <si>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</si>
  <si>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</si>
  <si>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</si>
  <si>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</si>
  <si>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</si>
  <si>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</si>
  <si>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</si>
  <si>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</si>
  <si>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</si>
  <si>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</si>
  <si>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</si>
  <si>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</si>
  <si>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</si>
  <si>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</si>
  <si>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</si>
  <si>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</si>
  <si>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</si>
  <si>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</si>
  <si>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</si>
  <si>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</si>
  <si>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</si>
  <si>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</si>
  <si>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</si>
  <si>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</si>
  <si>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</si>
  <si>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</si>
  <si>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</si>
  <si>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</si>
  <si>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</si>
  <si>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</si>
  <si>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</si>
  <si>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</si>
  <si>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</si>
  <si>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</si>
  <si>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</si>
  <si>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</si>
  <si>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</si>
  <si>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</si>
  <si>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</si>
  <si>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</si>
  <si>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</si>
  <si>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</si>
  <si>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</si>
  <si>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</si>
  <si>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</si>
  <si>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</si>
  <si>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</si>
  <si>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</si>
  <si>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</si>
  <si>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</si>
  <si>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</si>
  <si>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</si>
  <si>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</si>
  <si>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</si>
  <si>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</si>
  <si>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</si>
  <si>
    <t>TTM</t>
  </si>
  <si>
    <t>Goodwill on consolidation</t>
  </si>
  <si>
    <t>Other Financial Assets</t>
  </si>
  <si>
    <t xml:space="preserve">Current tax assets (net) </t>
  </si>
  <si>
    <t xml:space="preserve"> FY26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</si>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</sst>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 * #,##0.0000_ ;_ * \-#,##0.00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yFirstFont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4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0" fillId="0" borderId="5" xfId="0" applyNumberFormat="1" applyBorder="1"/>
    <xf numFmtId="0" fontId="0" fillId="0" borderId="10" xfId="0" applyBorder="1"/>
    <xf numFmtId="0" fontId="5" fillId="0" borderId="5" xfId="0" applyFont="1" applyBorder="1" applyAlignment="1">
      <alignment horizontal="center"/>
    </xf>
    <xf numFmtId="43" fontId="0" fillId="0" borderId="2" xfId="0" applyNumberFormat="1" applyBorder="1" applyAlignment="1">
      <alignment horizontal="right"/>
    </xf>
    <xf numFmtId="10" fontId="6" fillId="0" borderId="2" xfId="1" applyNumberFormat="1" applyFont="1" applyFill="1" applyBorder="1"/>
    <xf numFmtId="2" fontId="6" fillId="0" borderId="2" xfId="1" applyNumberFormat="1" applyFont="1" applyFill="1" applyBorder="1"/>
    <xf numFmtId="43" fontId="2" fillId="0" borderId="5" xfId="2" applyFont="1" applyFill="1" applyBorder="1"/>
    <xf numFmtId="43" fontId="2" fillId="0" borderId="5" xfId="0" applyNumberFormat="1" applyFont="1" applyBorder="1"/>
    <xf numFmtId="10" fontId="3" fillId="2" borderId="5" xfId="1" applyNumberFormat="1" applyFont="1" applyFill="1" applyBorder="1"/>
    <xf numFmtId="43" fontId="0" fillId="0" borderId="5" xfId="2" applyFont="1" applyFill="1" applyBorder="1"/>
    <xf numFmtId="10" fontId="2" fillId="2" borderId="5" xfId="1" applyNumberFormat="1" applyFont="1" applyFill="1" applyBorder="1"/>
    <xf numFmtId="0" fontId="0" fillId="0" borderId="5" xfId="0" applyBorder="1"/>
    <xf numFmtId="43" fontId="2" fillId="0" borderId="5" xfId="0" applyNumberFormat="1" applyFont="1" applyBorder="1" applyAlignment="1">
      <alignment horizontal="center"/>
    </xf>
    <xf numFmtId="9" fontId="3" fillId="2" borderId="5" xfId="1" applyFont="1" applyFill="1" applyBorder="1"/>
    <xf numFmtId="2" fontId="0" fillId="0" borderId="5" xfId="1" applyNumberFormat="1" applyFont="1" applyFill="1" applyBorder="1"/>
    <xf numFmtId="10" fontId="0" fillId="2" borderId="5" xfId="1" applyNumberFormat="1" applyFont="1" applyFill="1" applyBorder="1"/>
    <xf numFmtId="2" fontId="2" fillId="2" borderId="5" xfId="1" applyNumberFormat="1" applyFont="1" applyFill="1" applyBorder="1"/>
    <xf numFmtId="43" fontId="9" fillId="0" borderId="5" xfId="2" applyFont="1" applyFill="1" applyBorder="1" applyAlignment="1">
      <alignment horizontal="right"/>
    </xf>
    <xf numFmtId="43" fontId="2" fillId="2" borderId="5" xfId="2" applyFont="1" applyFill="1" applyBorder="1"/>
    <xf numFmtId="0" fontId="2" fillId="0" borderId="0" xfId="0" applyFont="1"/>
    <xf numFmtId="3" fontId="11" fillId="0" borderId="12" xfId="0" applyNumberFormat="1" applyFont="1" applyBorder="1"/>
    <xf numFmtId="43" fontId="0" fillId="0" borderId="2" xfId="2" applyFont="1" applyFill="1" applyBorder="1" applyAlignment="1">
      <alignment horizontal="center"/>
    </xf>
    <xf numFmtId="4" fontId="0" fillId="0" borderId="0" xfId="0" applyNumberFormat="1"/>
    <xf numFmtId="43" fontId="2" fillId="5" borderId="0" xfId="1" applyNumberFormat="1" applyFont="1" applyFill="1" applyBorder="1"/>
    <xf numFmtId="4" fontId="12" fillId="0" borderId="0" xfId="0" applyNumberFormat="1" applyFont="1"/>
    <xf numFmtId="0" fontId="2" fillId="0" borderId="0" xfId="0" applyFont="1" applyAlignment="1">
      <alignment horizontal="center"/>
    </xf>
    <xf numFmtId="167" fontId="0" fillId="0" borderId="0" xfId="0" applyNumberFormat="1"/>
    <xf numFmtId="0" fontId="5" fillId="0" borderId="0" xfId="0" applyFont="1" applyAlignment="1">
      <alignment horizontal="center"/>
    </xf>
    <xf numFmtId="43" fontId="2" fillId="2" borderId="0" xfId="0" applyNumberFormat="1" applyFont="1" applyFill="1"/>
    <xf numFmtId="43" fontId="0" fillId="0" borderId="0" xfId="2" applyFont="1" applyFill="1" applyBorder="1"/>
    <xf numFmtId="43" fontId="5" fillId="0" borderId="0" xfId="2" applyFont="1" applyFill="1" applyBorder="1"/>
    <xf numFmtId="43" fontId="6" fillId="0" borderId="0" xfId="2" applyFont="1" applyFill="1" applyBorder="1"/>
    <xf numFmtId="3" fontId="11" fillId="0" borderId="0" xfId="0" applyNumberFormat="1" applyFont="1"/>
    <xf numFmtId="43" fontId="2" fillId="2" borderId="0" xfId="2" applyFont="1" applyFill="1" applyBorder="1"/>
    <xf numFmtId="43" fontId="0" fillId="0" borderId="0" xfId="2" applyFont="1" applyFill="1" applyBorder="1" applyAlignment="1">
      <alignment horizontal="center"/>
    </xf>
    <xf numFmtId="10" fontId="0" fillId="0" borderId="2" xfId="1" applyNumberFormat="1" applyFont="1" applyFill="1" applyBorder="1"/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5">
    <cellStyle name="20% - Accent1" xfId="3" builtinId="30"/>
    <cellStyle name="Comma" xfId="2" builtinId="3"/>
    <cellStyle name="Comma 2" xfId="4" xr:uid="{00000000-0005-0000-0000-000002000000}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13" totalsRowShown="0" headerRowDxfId="5" headerRowBorderDxfId="4" tableBorderDxfId="3" totalsRowBorderDxfId="2" headerRowCellStyle="20% - Accent1" dataCellStyle="20% - Accent1">
  <autoFilter ref="A1:B13" xr:uid="{00000000-0009-0000-0100-000002000000}"/>
  <tableColumns count="2">
    <tableColumn id="1" xr3:uid="{00000000-0010-0000-0000-000001000000}" name="Column1" dataDxfId="1" dataCellStyle="20% - Accent1"/>
    <tableColumn id="2" xr3:uid="{00000000-0010-0000-0000-000002000000}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74"/>
  <sheetViews>
    <sheetView tabSelected="1" zoomScale="70" zoomScaleNormal="70" workbookViewId="0">
      <selection activeCell="M9" sqref="M9"/>
    </sheetView>
  </sheetViews>
  <sheetFormatPr defaultRowHeight="14.4"/>
  <cols>
    <col min="1" max="1" width="4.109375" customWidth="1"/>
    <col min="2" max="2" width="44.44140625" customWidth="1"/>
    <col min="3" max="5" width="15.109375" hidden="1" customWidth="1"/>
    <col min="6" max="6" width="18.6640625" bestFit="1" customWidth="1"/>
    <col min="7" max="8" width="16.33203125" bestFit="1" customWidth="1"/>
    <col min="9" max="10" width="16.33203125" customWidth="1"/>
    <col min="11" max="11" width="16.33203125" bestFit="1" customWidth="1"/>
    <col min="12" max="12" width="17.33203125" bestFit="1" customWidth="1"/>
    <col min="13" max="13" width="17.33203125" customWidth="1"/>
    <col min="14" max="14" width="20.109375" style="49" customWidth="1"/>
    <col min="15" max="15" width="52.6640625" bestFit="1" customWidth="1"/>
    <col min="16" max="19" width="14" hidden="1" customWidth="1"/>
    <col min="20" max="21" width="14" bestFit="1" customWidth="1"/>
    <col min="22" max="22" width="13.5546875" bestFit="1" customWidth="1"/>
    <col min="23" max="23" width="15.6640625" bestFit="1" customWidth="1"/>
    <col min="24" max="24" width="15.5546875" bestFit="1" customWidth="1"/>
    <col min="25" max="25" width="14.88671875" customWidth="1"/>
    <col min="26" max="26" width="20" bestFit="1" customWidth="1"/>
    <col min="27" max="27" width="20" customWidth="1"/>
    <col min="28" max="28" width="14.88671875" bestFit="1" customWidth="1"/>
    <col min="30" max="30" width="10.6640625" bestFit="1" customWidth="1"/>
  </cols>
  <sheetData>
    <row r="1" spans="1:30" ht="15.6">
      <c r="B1" s="140" t="s">
        <v>148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0">
      <c r="B2" s="141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29"/>
      <c r="O2" s="145" t="s">
        <v>26</v>
      </c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7"/>
      <c r="AA2" s="131"/>
    </row>
    <row r="3" spans="1:30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103" t="s">
        <v>149</v>
      </c>
      <c r="L3" s="2" t="s">
        <v>156</v>
      </c>
      <c r="M3" s="2" t="s">
        <v>158</v>
      </c>
      <c r="N3" s="50"/>
      <c r="O3" s="1" t="s">
        <v>1</v>
      </c>
      <c r="P3" s="2" t="s">
        <v>106</v>
      </c>
      <c r="Q3" s="2" t="s">
        <v>2</v>
      </c>
      <c r="R3" s="9" t="s">
        <v>3</v>
      </c>
      <c r="S3" s="9" t="s">
        <v>4</v>
      </c>
      <c r="T3" s="9" t="s">
        <v>5</v>
      </c>
      <c r="U3" s="9" t="s">
        <v>6</v>
      </c>
      <c r="V3" s="9" t="s">
        <v>107</v>
      </c>
      <c r="W3" s="2" t="s">
        <v>143</v>
      </c>
      <c r="X3" s="9" t="s">
        <v>145</v>
      </c>
      <c r="Y3" s="2" t="s">
        <v>149</v>
      </c>
      <c r="Z3" s="2" t="s">
        <v>156</v>
      </c>
      <c r="AA3" s="129"/>
    </row>
    <row r="4" spans="1:30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110">
        <f>66263.1+947.4</f>
        <v>67210.5</v>
      </c>
      <c r="L4" s="84">
        <f>168224.3+2902.4</f>
        <v>171126.69999999998</v>
      </c>
      <c r="M4" s="84">
        <f>+(7288.61+65.79)*10</f>
        <v>73544</v>
      </c>
      <c r="N4" s="51"/>
      <c r="O4" s="3" t="s">
        <v>27</v>
      </c>
      <c r="P4" s="3">
        <v>224.30500000000001</v>
      </c>
      <c r="Q4" s="7">
        <v>224.30500000000001</v>
      </c>
      <c r="R4" s="7">
        <v>224.30500000000001</v>
      </c>
      <c r="S4" s="7">
        <v>224.30500000000001</v>
      </c>
      <c r="T4" s="80">
        <v>226.90100000000001</v>
      </c>
      <c r="U4" s="80">
        <v>253.47200000000001</v>
      </c>
      <c r="V4" s="80">
        <v>370.44200000000001</v>
      </c>
      <c r="W4" s="80">
        <f>50.48*10</f>
        <v>504.79999999999995</v>
      </c>
      <c r="X4" s="80">
        <v>505.3</v>
      </c>
      <c r="Y4" s="80">
        <v>523.20000000000005</v>
      </c>
      <c r="Z4" s="80">
        <v>562.79999999999995</v>
      </c>
      <c r="AA4" s="133"/>
    </row>
    <row r="5" spans="1:30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79">
        <v>499.4</v>
      </c>
      <c r="K5" s="111">
        <v>537.1</v>
      </c>
      <c r="L5" s="79">
        <v>1937.3</v>
      </c>
      <c r="M5" s="79">
        <f>128.32*10</f>
        <v>1283.1999999999998</v>
      </c>
      <c r="N5" s="52"/>
      <c r="O5" s="3" t="s">
        <v>28</v>
      </c>
      <c r="P5" s="3">
        <v>395.4</v>
      </c>
      <c r="Q5" s="14">
        <f>775.621-323.689</f>
        <v>451.93199999999996</v>
      </c>
      <c r="R5" s="14">
        <v>620.03800000000001</v>
      </c>
      <c r="S5" s="14">
        <v>858.23</v>
      </c>
      <c r="T5" s="81">
        <v>1217.154</v>
      </c>
      <c r="U5" s="81">
        <v>1567.5809999999999</v>
      </c>
      <c r="V5" s="80">
        <v>4446.0659999999998</v>
      </c>
      <c r="W5" s="80">
        <f>1478.47*10</f>
        <v>14784.7</v>
      </c>
      <c r="X5" s="81">
        <v>27603.4</v>
      </c>
      <c r="Y5" s="81">
        <v>64077.599999999999</v>
      </c>
      <c r="Z5" s="81">
        <v>138146.1</v>
      </c>
      <c r="AA5" s="135"/>
    </row>
    <row r="6" spans="1:30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79">
        <f>J4+J5</f>
        <v>65745.899999999994</v>
      </c>
      <c r="K6" s="111">
        <f>K4+K5</f>
        <v>67747.600000000006</v>
      </c>
      <c r="L6" s="79">
        <f>L5+L4</f>
        <v>173063.99999999997</v>
      </c>
      <c r="M6" s="79">
        <f>M5+M4</f>
        <v>74827.199999999997</v>
      </c>
      <c r="N6" s="52"/>
      <c r="O6" s="88" t="s">
        <v>29</v>
      </c>
      <c r="P6" s="8">
        <f>P4+P5</f>
        <v>619.70499999999993</v>
      </c>
      <c r="Q6" s="8">
        <f>Q4+Q5</f>
        <v>676.23699999999997</v>
      </c>
      <c r="R6" s="8">
        <f t="shared" ref="R6:S6" si="1">R4+R5</f>
        <v>844.34300000000007</v>
      </c>
      <c r="S6" s="8">
        <f t="shared" si="1"/>
        <v>1082.5350000000001</v>
      </c>
      <c r="T6" s="48">
        <f t="shared" ref="T6:X6" si="2">T4+T5</f>
        <v>1444.0550000000001</v>
      </c>
      <c r="U6" s="48">
        <f t="shared" si="2"/>
        <v>1821.0529999999999</v>
      </c>
      <c r="V6" s="48">
        <f t="shared" si="2"/>
        <v>4816.5079999999998</v>
      </c>
      <c r="W6" s="48">
        <f t="shared" si="2"/>
        <v>15289.5</v>
      </c>
      <c r="X6" s="48">
        <f t="shared" si="2"/>
        <v>28108.7</v>
      </c>
      <c r="Y6" s="48">
        <f>Y4+Y5</f>
        <v>64600.799999999996</v>
      </c>
      <c r="Z6" s="48">
        <f>Z4+Z5</f>
        <v>138708.9</v>
      </c>
      <c r="AA6" s="137"/>
    </row>
    <row r="7" spans="1:30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I7" si="4">H6/G6-1</f>
        <v>1.6609166467868626</v>
      </c>
      <c r="I7" s="86">
        <f t="shared" si="4"/>
        <v>3.7669380531946928</v>
      </c>
      <c r="J7" s="86">
        <f>J6/I6-1</f>
        <v>0.89645981706314526</v>
      </c>
      <c r="K7" s="112">
        <f>K6/J6-1</f>
        <v>3.0446004998030407E-2</v>
      </c>
      <c r="L7" s="86">
        <f>L6/K6-1</f>
        <v>1.5545406774557322</v>
      </c>
      <c r="M7" s="86" t="s">
        <v>87</v>
      </c>
      <c r="N7" s="53"/>
      <c r="O7" s="3" t="s">
        <v>30</v>
      </c>
      <c r="P7" s="3"/>
      <c r="Q7" s="7"/>
      <c r="R7" s="7"/>
      <c r="S7" s="7"/>
      <c r="T7" s="80"/>
      <c r="U7" s="80"/>
      <c r="V7" s="80"/>
      <c r="W7" s="80"/>
      <c r="X7" s="80" t="s">
        <v>131</v>
      </c>
      <c r="Y7" s="80"/>
      <c r="Z7" s="80">
        <v>3951.6</v>
      </c>
      <c r="AA7" s="133"/>
    </row>
    <row r="8" spans="1:30">
      <c r="B8" s="85" t="s">
        <v>11</v>
      </c>
      <c r="C8" s="87"/>
      <c r="D8" s="87"/>
      <c r="E8" s="86"/>
      <c r="F8" s="86">
        <f t="shared" ref="F8:H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112">
        <f>(K4/H4)^(1/3)-1</f>
        <v>1.127964748832182</v>
      </c>
      <c r="L8" s="86">
        <f>(L4/I4)^(1/3)-1</f>
        <v>0.71503931837317869</v>
      </c>
      <c r="M8" s="86" t="s">
        <v>87</v>
      </c>
      <c r="N8" s="53"/>
      <c r="O8" s="16" t="s">
        <v>31</v>
      </c>
      <c r="P8" s="3">
        <v>100.441</v>
      </c>
      <c r="Q8" s="14">
        <v>92.906000000000006</v>
      </c>
      <c r="R8" s="14">
        <v>100.339</v>
      </c>
      <c r="S8" s="14">
        <v>826.18</v>
      </c>
      <c r="T8" s="81">
        <v>808.95699999999999</v>
      </c>
      <c r="U8" s="81">
        <v>931.66200000000003</v>
      </c>
      <c r="V8" s="80">
        <v>567.19899999999996</v>
      </c>
      <c r="W8" s="80">
        <v>0</v>
      </c>
      <c r="X8" s="81">
        <v>0</v>
      </c>
      <c r="Y8" s="81">
        <v>7539.1</v>
      </c>
      <c r="Z8" s="81">
        <v>138492.5</v>
      </c>
      <c r="AA8" s="135"/>
    </row>
    <row r="9" spans="1:30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95">
        <f>SUM(K10:K14)</f>
        <v>47653.1</v>
      </c>
      <c r="L9" s="8">
        <f>SUM(L10:L14)</f>
        <v>109725.09999999999</v>
      </c>
      <c r="M9" s="8">
        <f>SUM(M10:M14)</f>
        <v>45729.400000000009</v>
      </c>
      <c r="N9" s="52"/>
      <c r="O9" s="16" t="s">
        <v>130</v>
      </c>
      <c r="P9" s="3">
        <v>19.349</v>
      </c>
      <c r="Q9" s="14">
        <v>167.441</v>
      </c>
      <c r="R9" s="14">
        <v>191.47900000000001</v>
      </c>
      <c r="S9" s="14">
        <v>26.709</v>
      </c>
      <c r="T9" s="81">
        <v>179.881</v>
      </c>
      <c r="U9" s="81">
        <v>96.936000000000007</v>
      </c>
      <c r="V9" s="80">
        <v>0</v>
      </c>
      <c r="W9" s="80">
        <v>0</v>
      </c>
      <c r="X9" s="81">
        <v>0</v>
      </c>
      <c r="Y9" s="81">
        <v>2799.3</v>
      </c>
      <c r="Z9" s="81">
        <v>65311.8</v>
      </c>
      <c r="AA9" s="135"/>
    </row>
    <row r="10" spans="1:30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7">
        <f>32397.7+5366.2</f>
        <v>37763.9</v>
      </c>
      <c r="K10" s="104">
        <v>5334.1</v>
      </c>
      <c r="L10" s="7">
        <v>21674</v>
      </c>
      <c r="M10" s="7">
        <f>1247.42*10</f>
        <v>12474.2</v>
      </c>
      <c r="N10" s="54"/>
      <c r="O10" s="3"/>
      <c r="P10" s="3"/>
      <c r="Q10" s="15"/>
      <c r="R10" s="15"/>
      <c r="S10" s="15"/>
      <c r="T10" s="81"/>
      <c r="U10" s="81"/>
      <c r="V10" s="80"/>
      <c r="W10" s="80"/>
      <c r="X10" s="80"/>
      <c r="Y10" s="80"/>
      <c r="Z10" s="80"/>
      <c r="AA10" s="133"/>
    </row>
    <row r="11" spans="1:30" ht="28.8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7">
        <v>-148.9</v>
      </c>
      <c r="K11" s="104">
        <v>904.1</v>
      </c>
      <c r="L11" s="7">
        <v>-7196.5</v>
      </c>
      <c r="M11" s="7">
        <v>-33.199999999999996</v>
      </c>
      <c r="N11" s="54"/>
      <c r="O11" s="88" t="s">
        <v>32</v>
      </c>
      <c r="P11" s="8">
        <f>P8+P9</f>
        <v>119.79</v>
      </c>
      <c r="Q11" s="8">
        <f>Q8+Q9</f>
        <v>260.34699999999998</v>
      </c>
      <c r="R11" s="8">
        <f>R8+R9</f>
        <v>291.81799999999998</v>
      </c>
      <c r="S11" s="8">
        <f t="shared" ref="S11" si="7">S8+S9</f>
        <v>852.8889999999999</v>
      </c>
      <c r="T11" s="48">
        <f>T8+T9</f>
        <v>988.83799999999997</v>
      </c>
      <c r="U11" s="48">
        <f>U8+U9</f>
        <v>1028.598</v>
      </c>
      <c r="V11" s="48">
        <f>V8+V9</f>
        <v>567.19899999999996</v>
      </c>
      <c r="W11" s="48">
        <f t="shared" ref="W11:X11" si="8">W8+W9</f>
        <v>0</v>
      </c>
      <c r="X11" s="48">
        <f t="shared" si="8"/>
        <v>0</v>
      </c>
      <c r="Y11" s="48">
        <f>Y8+Y9</f>
        <v>10338.400000000001</v>
      </c>
      <c r="Z11" s="48">
        <f>Z8+Z9</f>
        <v>203804.3</v>
      </c>
      <c r="AA11" s="137"/>
    </row>
    <row r="12" spans="1:30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113">
        <v>1822.4</v>
      </c>
      <c r="L12" s="80">
        <v>3709</v>
      </c>
      <c r="M12" s="80">
        <v>75.7</v>
      </c>
      <c r="N12" s="55"/>
      <c r="O12" s="88" t="s">
        <v>33</v>
      </c>
      <c r="P12" s="45">
        <f t="shared" ref="P12:W12" si="9">P6+P7+P8+SUM(P47:P52)</f>
        <v>3923.0780000000004</v>
      </c>
      <c r="Q12" s="45">
        <f t="shared" si="9"/>
        <v>4120.41</v>
      </c>
      <c r="R12" s="45">
        <f t="shared" si="9"/>
        <v>4618.2160000000003</v>
      </c>
      <c r="S12" s="45">
        <f t="shared" si="9"/>
        <v>5009.0509999999995</v>
      </c>
      <c r="T12" s="48">
        <f t="shared" si="9"/>
        <v>5092.6200000000008</v>
      </c>
      <c r="U12" s="48">
        <f t="shared" si="9"/>
        <v>5638.1980000000003</v>
      </c>
      <c r="V12" s="48">
        <f t="shared" si="9"/>
        <v>7055.9789999999994</v>
      </c>
      <c r="W12" s="48">
        <f t="shared" si="9"/>
        <v>15537</v>
      </c>
      <c r="X12" s="48">
        <f>X6+X47+X51+X52</f>
        <v>29516.000000000004</v>
      </c>
      <c r="Y12" s="48">
        <f>Y6+Y47+Y51+Y52+Y8</f>
        <v>73541.899999999994</v>
      </c>
      <c r="Z12" s="48">
        <f>Z6+Z47+Z51+Z52+Z8</f>
        <v>283013.69999999995</v>
      </c>
      <c r="AA12" s="137"/>
    </row>
    <row r="13" spans="1:30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7">
        <v>1177.5999999999999</v>
      </c>
      <c r="K13" s="104">
        <v>1632.7</v>
      </c>
      <c r="L13" s="7">
        <v>12929.2</v>
      </c>
      <c r="M13" s="7">
        <v>3999.9</v>
      </c>
      <c r="N13" s="54"/>
      <c r="O13" s="88" t="s">
        <v>33</v>
      </c>
      <c r="P13" s="45">
        <f t="shared" ref="P13:Z13" si="10">P53-P38-P9</f>
        <v>4311.1799999999994</v>
      </c>
      <c r="Q13" s="45">
        <f t="shared" si="10"/>
        <v>4120.4070000000002</v>
      </c>
      <c r="R13" s="45">
        <f t="shared" si="10"/>
        <v>4618.2180999999991</v>
      </c>
      <c r="S13" s="45">
        <f t="shared" si="10"/>
        <v>5009.0510000000004</v>
      </c>
      <c r="T13" s="48">
        <f t="shared" si="10"/>
        <v>5092.619999999999</v>
      </c>
      <c r="U13" s="48">
        <f t="shared" si="10"/>
        <v>5638.2009999999991</v>
      </c>
      <c r="V13" s="48">
        <f t="shared" si="10"/>
        <v>7055.8998000000001</v>
      </c>
      <c r="W13" s="48">
        <f t="shared" si="10"/>
        <v>15537.099999999995</v>
      </c>
      <c r="X13" s="48">
        <f t="shared" si="10"/>
        <v>29516.000000000007</v>
      </c>
      <c r="Y13" s="48">
        <f t="shared" si="10"/>
        <v>70742.599999999991</v>
      </c>
      <c r="Z13" s="48">
        <f t="shared" si="10"/>
        <v>230207.3</v>
      </c>
      <c r="AA13" s="137"/>
      <c r="AB13" s="17"/>
    </row>
    <row r="14" spans="1:30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7">
        <v>5439</v>
      </c>
      <c r="K14" s="104">
        <f>4720.2+33239.6</f>
        <v>37959.799999999996</v>
      </c>
      <c r="L14" s="7">
        <v>78609.399999999994</v>
      </c>
      <c r="M14" s="7">
        <f>(2267.3+653.98)*10</f>
        <v>29212.800000000003</v>
      </c>
      <c r="N14" s="54"/>
      <c r="O14" s="3"/>
      <c r="P14" s="3"/>
      <c r="Q14" s="7"/>
      <c r="R14" s="7"/>
      <c r="S14" s="7"/>
      <c r="T14" s="80"/>
      <c r="U14" s="80"/>
      <c r="V14" s="80"/>
      <c r="W14" s="80"/>
      <c r="X14" s="80"/>
      <c r="Y14" s="80"/>
      <c r="Z14" s="80"/>
      <c r="AA14" s="133"/>
      <c r="AB14" s="17"/>
    </row>
    <row r="15" spans="1:30">
      <c r="B15" s="88" t="s">
        <v>14</v>
      </c>
      <c r="C15" s="8">
        <f t="shared" ref="C15:H15" si="11">C4-C9</f>
        <v>147.88099999999986</v>
      </c>
      <c r="D15" s="8">
        <f t="shared" si="11"/>
        <v>164.44599999999991</v>
      </c>
      <c r="E15" s="8">
        <f t="shared" si="11"/>
        <v>157.56700000000001</v>
      </c>
      <c r="F15" s="8">
        <f t="shared" si="11"/>
        <v>211.28400000000011</v>
      </c>
      <c r="G15" s="8">
        <f>G4-G9</f>
        <v>108.7180000000003</v>
      </c>
      <c r="H15" s="8">
        <f t="shared" si="11"/>
        <v>1455.3279999999986</v>
      </c>
      <c r="I15" s="8">
        <f>I4-I9</f>
        <v>8103</v>
      </c>
      <c r="J15" s="8">
        <f>J4-J9</f>
        <v>17312.599999999999</v>
      </c>
      <c r="K15" s="95">
        <f>K6-K9</f>
        <v>20094.500000000007</v>
      </c>
      <c r="L15" s="8">
        <f>L6-L9</f>
        <v>63338.89999999998</v>
      </c>
      <c r="M15" s="8">
        <f>M6-M9</f>
        <v>29097.799999999988</v>
      </c>
      <c r="N15" s="52"/>
      <c r="O15" s="3"/>
      <c r="P15" s="3"/>
      <c r="Q15" s="7"/>
      <c r="R15" s="7"/>
      <c r="S15" s="7"/>
      <c r="T15" s="80"/>
      <c r="U15" s="80"/>
      <c r="V15" s="80"/>
      <c r="W15" s="80"/>
      <c r="X15" s="80"/>
      <c r="Y15" s="80"/>
      <c r="Z15" s="80"/>
      <c r="AA15" s="133"/>
    </row>
    <row r="16" spans="1:30">
      <c r="B16" s="85" t="s">
        <v>10</v>
      </c>
      <c r="C16" s="86"/>
      <c r="D16" s="86">
        <f t="shared" ref="D16:I16" si="12">D15/C15-1</f>
        <v>0.11201574238746059</v>
      </c>
      <c r="E16" s="86">
        <f t="shared" si="12"/>
        <v>-4.1831361054692207E-2</v>
      </c>
      <c r="F16" s="86">
        <f t="shared" si="12"/>
        <v>0.3409152931768713</v>
      </c>
      <c r="G16" s="86">
        <f t="shared" si="12"/>
        <v>-0.48544139641430373</v>
      </c>
      <c r="H16" s="86">
        <f t="shared" si="12"/>
        <v>12.386265383837033</v>
      </c>
      <c r="I16" s="86">
        <f t="shared" si="12"/>
        <v>4.5678170144462333</v>
      </c>
      <c r="J16" s="86">
        <f>J15/I15-1</f>
        <v>1.1365667036899914</v>
      </c>
      <c r="K16" s="112">
        <f>K15/J15-1</f>
        <v>0.16068643646823744</v>
      </c>
      <c r="L16" s="86">
        <f>L15/K15-1</f>
        <v>2.1520515563960267</v>
      </c>
      <c r="M16" s="86" t="s">
        <v>87</v>
      </c>
      <c r="N16" s="53"/>
      <c r="O16" s="88" t="s">
        <v>34</v>
      </c>
      <c r="P16" s="8">
        <f t="shared" ref="P16:Z16" si="13">SUM(P17:P25)</f>
        <v>3776.6779999999999</v>
      </c>
      <c r="Q16" s="8">
        <f t="shared" si="13"/>
        <v>3673.0050000000001</v>
      </c>
      <c r="R16" s="8">
        <f t="shared" si="13"/>
        <v>4098.7659999999996</v>
      </c>
      <c r="S16" s="8">
        <f t="shared" si="13"/>
        <v>3951.326</v>
      </c>
      <c r="T16" s="48">
        <f t="shared" si="13"/>
        <v>4358.0679999999993</v>
      </c>
      <c r="U16" s="48">
        <f t="shared" si="13"/>
        <v>4659.7999999999993</v>
      </c>
      <c r="V16" s="48">
        <f t="shared" si="13"/>
        <v>5148.582800000001</v>
      </c>
      <c r="W16" s="48">
        <f t="shared" si="13"/>
        <v>10792.1</v>
      </c>
      <c r="X16" s="48">
        <f t="shared" si="13"/>
        <v>28101.200000000004</v>
      </c>
      <c r="Y16" s="48">
        <f>SUM(Y17:Y25)</f>
        <v>65637</v>
      </c>
      <c r="Z16" s="48">
        <f t="shared" si="13"/>
        <v>318259.7</v>
      </c>
      <c r="AA16" s="137"/>
      <c r="AB16" s="17">
        <f>138051.6-Z16</f>
        <v>-180208.1</v>
      </c>
      <c r="AD16" s="130">
        <f>65637-Y16</f>
        <v>0</v>
      </c>
    </row>
    <row r="17" spans="1:30">
      <c r="B17" s="85" t="s">
        <v>11</v>
      </c>
      <c r="C17" s="86"/>
      <c r="D17" s="86"/>
      <c r="E17" s="86"/>
      <c r="F17" s="86">
        <f t="shared" ref="F17:I17" si="14">(F15/C15)^(1/3)-1</f>
        <v>0.12629306634304482</v>
      </c>
      <c r="G17" s="86">
        <f t="shared" si="14"/>
        <v>-0.12885045639612913</v>
      </c>
      <c r="H17" s="86">
        <f t="shared" si="14"/>
        <v>1.09812748478394</v>
      </c>
      <c r="I17" s="86">
        <f t="shared" si="14"/>
        <v>2.3723016074265635</v>
      </c>
      <c r="J17" s="86">
        <f>(J15/G15)^(1/3)-1</f>
        <v>4.4202620072126209</v>
      </c>
      <c r="K17" s="112">
        <f>(K15/H15)^(1/3)-1</f>
        <v>1.3990470923813878</v>
      </c>
      <c r="L17" s="86">
        <f>(L15/I15)^(1/3)-1</f>
        <v>0.98460870804308276</v>
      </c>
      <c r="M17" s="86" t="s">
        <v>87</v>
      </c>
      <c r="N17" s="53"/>
      <c r="O17" s="3" t="s">
        <v>35</v>
      </c>
      <c r="P17" s="3">
        <v>2926.5940000000001</v>
      </c>
      <c r="Q17" s="14">
        <v>3198.8820000000001</v>
      </c>
      <c r="R17" s="14">
        <v>3482.3519999999999</v>
      </c>
      <c r="S17" s="14">
        <v>3581.7649999999999</v>
      </c>
      <c r="T17" s="81">
        <v>3709.4580000000001</v>
      </c>
      <c r="U17" s="80">
        <v>3608.8629999999998</v>
      </c>
      <c r="V17" s="80">
        <v>3990.6669999999999</v>
      </c>
      <c r="W17" s="80">
        <f>474.6*10</f>
        <v>4746</v>
      </c>
      <c r="X17" s="80">
        <v>11567.5</v>
      </c>
      <c r="Y17" s="80">
        <v>16078.1</v>
      </c>
      <c r="Z17" s="80">
        <v>99924.800000000003</v>
      </c>
      <c r="AA17" s="133"/>
    </row>
    <row r="18" spans="1:30">
      <c r="B18" s="88" t="s">
        <v>15</v>
      </c>
      <c r="C18" s="4">
        <f t="shared" ref="C18:I18" si="15">C15/C4</f>
        <v>3.6878726221200496E-2</v>
      </c>
      <c r="D18" s="4">
        <f t="shared" si="15"/>
        <v>3.9656216012867763E-2</v>
      </c>
      <c r="E18" s="4">
        <f t="shared" si="15"/>
        <v>3.3013458944844039E-2</v>
      </c>
      <c r="F18" s="4">
        <f t="shared" si="15"/>
        <v>5.6836651521632142E-2</v>
      </c>
      <c r="G18" s="4">
        <f t="shared" si="15"/>
        <v>4.2902575188422526E-2</v>
      </c>
      <c r="H18" s="4">
        <f t="shared" si="15"/>
        <v>0.20864935511055618</v>
      </c>
      <c r="I18" s="4">
        <f t="shared" si="15"/>
        <v>0.23886378308586187</v>
      </c>
      <c r="J18" s="4">
        <f>J15/J4</f>
        <v>0.26534143593909248</v>
      </c>
      <c r="K18" s="114">
        <f>K15/K4</f>
        <v>0.29897858221557655</v>
      </c>
      <c r="L18" s="4">
        <f>L15/L4</f>
        <v>0.37012868243237312</v>
      </c>
      <c r="M18" s="4">
        <f>M15/M4</f>
        <v>0.39565158272598699</v>
      </c>
      <c r="N18" s="56"/>
      <c r="O18" s="3" t="s">
        <v>153</v>
      </c>
      <c r="P18" s="3"/>
      <c r="Q18" s="14">
        <v>0</v>
      </c>
      <c r="R18" s="14">
        <v>0</v>
      </c>
      <c r="S18" s="14">
        <v>0</v>
      </c>
      <c r="T18" s="100">
        <v>0</v>
      </c>
      <c r="U18" s="81">
        <v>0</v>
      </c>
      <c r="V18" s="80">
        <v>0</v>
      </c>
      <c r="W18" s="80">
        <v>0</v>
      </c>
      <c r="X18" s="80">
        <v>0</v>
      </c>
      <c r="Y18" s="80">
        <v>0</v>
      </c>
      <c r="Z18" s="80">
        <v>16951</v>
      </c>
      <c r="AA18" s="133"/>
      <c r="AD18" s="17"/>
    </row>
    <row r="19" spans="1:30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7">
        <v>489.9</v>
      </c>
      <c r="K19" s="104">
        <v>808</v>
      </c>
      <c r="L19" s="7">
        <v>6071.6</v>
      </c>
      <c r="M19" s="7">
        <f>261.52*10</f>
        <v>2615.1999999999998</v>
      </c>
      <c r="N19" s="54"/>
      <c r="O19" s="3" t="s">
        <v>37</v>
      </c>
      <c r="P19" s="3">
        <v>72.564999999999998</v>
      </c>
      <c r="Q19" s="14">
        <v>84.587999999999994</v>
      </c>
      <c r="R19" s="14">
        <v>229.917</v>
      </c>
      <c r="S19" s="14">
        <v>361.96699999999998</v>
      </c>
      <c r="T19" s="81">
        <v>423.65899999999999</v>
      </c>
      <c r="U19" s="81">
        <v>847.1</v>
      </c>
      <c r="V19" s="80">
        <v>858.803</v>
      </c>
      <c r="W19" s="80">
        <f>373.1*10</f>
        <v>3731</v>
      </c>
      <c r="X19" s="81">
        <v>12681.5</v>
      </c>
      <c r="Y19" s="81">
        <v>42672.6</v>
      </c>
      <c r="Z19" s="81">
        <v>139460.79999999999</v>
      </c>
      <c r="AA19" s="135"/>
    </row>
    <row r="20" spans="1:30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3"/>
      <c r="K20" s="115"/>
      <c r="L20" s="3"/>
      <c r="M20" s="3"/>
      <c r="O20" s="3" t="s">
        <v>64</v>
      </c>
      <c r="P20" s="3"/>
      <c r="Q20" s="7">
        <v>0</v>
      </c>
      <c r="R20" s="7">
        <v>0</v>
      </c>
      <c r="S20" s="7">
        <v>0</v>
      </c>
      <c r="T20" s="80">
        <v>29.815000000000001</v>
      </c>
      <c r="U20" s="80">
        <v>7.883</v>
      </c>
      <c r="V20" s="80">
        <v>6.0279999999999996</v>
      </c>
      <c r="W20" s="80">
        <f>57.77*10</f>
        <v>577.70000000000005</v>
      </c>
      <c r="X20" s="80">
        <v>779.5</v>
      </c>
      <c r="Y20" s="80">
        <v>827.1</v>
      </c>
      <c r="Z20" s="80">
        <v>3880.6</v>
      </c>
      <c r="AA20" s="133"/>
    </row>
    <row r="21" spans="1:30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7">
        <v>56.8</v>
      </c>
      <c r="K21" s="104">
        <v>272.2</v>
      </c>
      <c r="L21" s="7">
        <v>5103.6000000000004</v>
      </c>
      <c r="M21" s="7">
        <f>275.53*10</f>
        <v>2755.2999999999997</v>
      </c>
      <c r="N21" s="54"/>
      <c r="O21" s="3" t="s">
        <v>132</v>
      </c>
      <c r="P21" s="3"/>
      <c r="Q21" s="7">
        <v>389.53500000000003</v>
      </c>
      <c r="R21" s="7">
        <v>1.3149999999999999</v>
      </c>
      <c r="S21" s="7">
        <v>1.3149999999999999</v>
      </c>
      <c r="T21" s="80">
        <v>1.3149999999999999</v>
      </c>
      <c r="U21" s="80">
        <v>1.355</v>
      </c>
      <c r="V21" s="80">
        <v>2</v>
      </c>
      <c r="W21" s="80">
        <f>0.04*10</f>
        <v>0.4</v>
      </c>
      <c r="X21" s="80">
        <v>0.4</v>
      </c>
      <c r="Y21" s="80">
        <v>0.3</v>
      </c>
      <c r="Z21" s="80">
        <v>5606.3</v>
      </c>
      <c r="AA21" s="133"/>
    </row>
    <row r="22" spans="1:30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3"/>
      <c r="K22" s="115"/>
      <c r="L22" s="3"/>
      <c r="M22" s="3"/>
      <c r="O22" s="10" t="s">
        <v>129</v>
      </c>
      <c r="P22" s="10">
        <v>388.10199999999998</v>
      </c>
      <c r="Q22" s="14">
        <v>0</v>
      </c>
      <c r="R22" s="14">
        <v>0</v>
      </c>
      <c r="S22" s="14">
        <v>0</v>
      </c>
      <c r="T22" s="81">
        <v>0</v>
      </c>
      <c r="U22" s="81">
        <v>0</v>
      </c>
      <c r="V22" s="80">
        <v>0</v>
      </c>
      <c r="W22" s="81">
        <v>0</v>
      </c>
      <c r="X22" s="80">
        <v>0</v>
      </c>
      <c r="Y22" s="80">
        <v>323.39999999999998</v>
      </c>
      <c r="Z22" s="80">
        <v>474.4</v>
      </c>
      <c r="AA22" s="133"/>
    </row>
    <row r="23" spans="1:30">
      <c r="B23" s="1" t="s">
        <v>142</v>
      </c>
      <c r="C23" s="65">
        <f t="shared" ref="C23:I23" si="16">C15-C19-C21-C22+C5</f>
        <v>55.719999999999843</v>
      </c>
      <c r="D23" s="65">
        <f t="shared" si="16"/>
        <v>170.34099999999992</v>
      </c>
      <c r="E23" s="65">
        <f t="shared" si="16"/>
        <v>206.33300000000003</v>
      </c>
      <c r="F23" s="84">
        <f t="shared" si="16"/>
        <v>130.9370000000001</v>
      </c>
      <c r="G23" s="84">
        <f t="shared" si="16"/>
        <v>1.2680000000003133</v>
      </c>
      <c r="H23" s="84">
        <f t="shared" si="16"/>
        <v>1391.6069999999988</v>
      </c>
      <c r="I23" s="84">
        <f t="shared" si="16"/>
        <v>7967.2000000000007</v>
      </c>
      <c r="J23" s="84">
        <f>J15-J19-J21-J22+J5</f>
        <v>17265.3</v>
      </c>
      <c r="K23" s="110">
        <f>K15-K19-K21-K22</f>
        <v>19014.300000000007</v>
      </c>
      <c r="L23" s="84">
        <f>L15-L19-L21-L22</f>
        <v>52163.699999999983</v>
      </c>
      <c r="M23" s="84">
        <f>M15-M19-M21-M22</f>
        <v>23727.299999999988</v>
      </c>
      <c r="N23" s="57"/>
      <c r="O23" s="10" t="s">
        <v>154</v>
      </c>
      <c r="P23" s="10">
        <v>388.10199999999998</v>
      </c>
      <c r="Q23" s="14">
        <v>0</v>
      </c>
      <c r="R23" s="14">
        <v>0</v>
      </c>
      <c r="S23" s="14">
        <v>0</v>
      </c>
      <c r="T23" s="81">
        <v>0</v>
      </c>
      <c r="U23" s="81">
        <v>0</v>
      </c>
      <c r="V23" s="80">
        <v>0</v>
      </c>
      <c r="W23" s="81">
        <v>0</v>
      </c>
      <c r="X23" s="80">
        <v>0</v>
      </c>
      <c r="Y23" s="80"/>
      <c r="Z23" s="80">
        <v>87.1</v>
      </c>
      <c r="AA23" s="133"/>
    </row>
    <row r="24" spans="1:30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2">
        <v>0</v>
      </c>
      <c r="K24" s="116">
        <v>0</v>
      </c>
      <c r="L24" s="102">
        <v>206.1</v>
      </c>
      <c r="M24" s="102">
        <f>32.65*10</f>
        <v>326.5</v>
      </c>
      <c r="N24" s="58"/>
      <c r="O24" s="10" t="s">
        <v>150</v>
      </c>
      <c r="P24" s="10"/>
      <c r="Q24" s="15">
        <v>0</v>
      </c>
      <c r="R24" s="14">
        <v>0</v>
      </c>
      <c r="S24" s="14">
        <v>0</v>
      </c>
      <c r="T24" s="81">
        <v>187.33199999999999</v>
      </c>
      <c r="U24" s="81">
        <v>187.33199999999999</v>
      </c>
      <c r="V24" s="80">
        <v>282.399</v>
      </c>
      <c r="W24" s="80">
        <f>137.38*10</f>
        <v>1373.8</v>
      </c>
      <c r="X24" s="80">
        <v>0.4</v>
      </c>
      <c r="Y24" s="80">
        <v>23.8</v>
      </c>
      <c r="Z24" s="125">
        <v>1010.4</v>
      </c>
      <c r="AA24" s="138"/>
    </row>
    <row r="25" spans="1:30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79">
        <f>SUM(J23:J24)</f>
        <v>17265.3</v>
      </c>
      <c r="K25" s="111">
        <f>SUM(K23:K24)</f>
        <v>19014.300000000007</v>
      </c>
      <c r="L25" s="79">
        <f>L23+L24</f>
        <v>52369.799999999981</v>
      </c>
      <c r="M25" s="79">
        <f>M23+M24</f>
        <v>24053.799999999988</v>
      </c>
      <c r="N25" s="52"/>
      <c r="O25" s="3" t="s">
        <v>40</v>
      </c>
      <c r="P25" s="3">
        <v>1.3149999999999999</v>
      </c>
      <c r="Q25" s="14">
        <v>0</v>
      </c>
      <c r="R25" s="14">
        <v>385.18200000000002</v>
      </c>
      <c r="S25" s="14">
        <v>6.2789999999999999</v>
      </c>
      <c r="T25" s="81">
        <v>6.4889999999999999</v>
      </c>
      <c r="U25" s="81">
        <v>7.2670000000000003</v>
      </c>
      <c r="V25" s="80">
        <v>8.6858000000000004</v>
      </c>
      <c r="W25" s="80">
        <f>36.32*10</f>
        <v>363.2</v>
      </c>
      <c r="X25" s="81">
        <v>3071.9</v>
      </c>
      <c r="Y25" s="81">
        <v>5711.7</v>
      </c>
      <c r="Z25" s="81">
        <f>39932+10932.3</f>
        <v>50864.3</v>
      </c>
      <c r="AA25" s="135"/>
      <c r="AB25" s="17">
        <f>63279.6-Z26</f>
        <v>-34959.4</v>
      </c>
    </row>
    <row r="26" spans="1:30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7">
        <f>2597.8+2238.2</f>
        <v>4836</v>
      </c>
      <c r="K26" s="104">
        <f>4567.2-105.3</f>
        <v>4461.8999999999996</v>
      </c>
      <c r="L26" s="7">
        <v>14083.4</v>
      </c>
      <c r="M26" s="7">
        <f>+(475.79+195.7)*10</f>
        <v>6714.9</v>
      </c>
      <c r="N26" s="54"/>
      <c r="O26" s="88" t="s">
        <v>119</v>
      </c>
      <c r="P26" s="8">
        <f t="shared" ref="P26:Z26" si="17">SUM(P27:P37)</f>
        <v>1244.0250000000001</v>
      </c>
      <c r="Q26" s="8">
        <f t="shared" si="17"/>
        <v>1353.8390000000002</v>
      </c>
      <c r="R26" s="8">
        <f t="shared" si="17"/>
        <v>1462.4311000000002</v>
      </c>
      <c r="S26" s="8">
        <f t="shared" si="17"/>
        <v>1957.5710000000001</v>
      </c>
      <c r="T26" s="48">
        <f t="shared" si="17"/>
        <v>2062.9949999999999</v>
      </c>
      <c r="U26" s="48">
        <f t="shared" si="17"/>
        <v>2542.7379999999998</v>
      </c>
      <c r="V26" s="48">
        <f t="shared" si="17"/>
        <v>3089.4109999999996</v>
      </c>
      <c r="W26" s="48">
        <f t="shared" si="17"/>
        <v>9468.1999999999971</v>
      </c>
      <c r="X26" s="48">
        <f t="shared" si="17"/>
        <v>11274.2</v>
      </c>
      <c r="Y26" s="48">
        <f>SUM(Y27:Y37)</f>
        <v>23469.399999999998</v>
      </c>
      <c r="Z26" s="48">
        <f t="shared" si="17"/>
        <v>98239</v>
      </c>
      <c r="AA26" s="137"/>
    </row>
    <row r="27" spans="1:30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 t="shared" ref="H27:M27" si="18">H25-H26</f>
        <v>973.03599999999881</v>
      </c>
      <c r="I27" s="8">
        <f t="shared" si="18"/>
        <v>-2885.3999999999992</v>
      </c>
      <c r="J27" s="8">
        <f t="shared" si="18"/>
        <v>12429.3</v>
      </c>
      <c r="K27" s="95">
        <f t="shared" si="18"/>
        <v>14552.400000000007</v>
      </c>
      <c r="L27" s="8">
        <f t="shared" si="18"/>
        <v>38286.39999999998</v>
      </c>
      <c r="M27" s="8">
        <f t="shared" si="18"/>
        <v>17338.899999999987</v>
      </c>
      <c r="N27" s="52"/>
      <c r="O27" s="3" t="s">
        <v>41</v>
      </c>
      <c r="P27" s="13">
        <v>565.41</v>
      </c>
      <c r="Q27" s="15">
        <v>681.36800000000005</v>
      </c>
      <c r="R27" s="15">
        <v>678.58500000000004</v>
      </c>
      <c r="S27" s="15">
        <v>736.40899999999999</v>
      </c>
      <c r="T27" s="100">
        <v>841.16800000000001</v>
      </c>
      <c r="U27" s="81">
        <v>1157.0999999999999</v>
      </c>
      <c r="V27" s="80">
        <v>1668.405</v>
      </c>
      <c r="W27" s="80">
        <f>269.75*10</f>
        <v>2697.5</v>
      </c>
      <c r="X27" s="80">
        <v>2310.9</v>
      </c>
      <c r="Y27" s="80">
        <v>4327.2</v>
      </c>
      <c r="Z27" s="80">
        <v>26596</v>
      </c>
      <c r="AA27" s="133"/>
    </row>
    <row r="28" spans="1:30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" si="19">I27/H27-1</f>
        <v>-3.9653579107042316</v>
      </c>
      <c r="J28" s="89">
        <f>J27/I27-1</f>
        <v>-5.3076523185693505</v>
      </c>
      <c r="K28" s="117">
        <f>K27/J27-1</f>
        <v>0.17081412468924295</v>
      </c>
      <c r="L28" s="89">
        <f>L27/K27-1</f>
        <v>1.6309337291443309</v>
      </c>
      <c r="M28" s="89" t="s">
        <v>87</v>
      </c>
      <c r="N28" s="53"/>
      <c r="O28" s="3" t="s">
        <v>38</v>
      </c>
      <c r="P28" s="3"/>
      <c r="Q28" s="7"/>
      <c r="R28" s="7"/>
      <c r="S28" s="7"/>
      <c r="T28" s="80"/>
      <c r="U28" s="80"/>
      <c r="V28" s="80"/>
      <c r="W28" s="80"/>
      <c r="X28" s="80"/>
      <c r="Y28" s="80"/>
      <c r="Z28" s="80"/>
      <c r="AA28" s="133"/>
    </row>
    <row r="29" spans="1:30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" si="20">(I27/F27)^(1/3)-1</f>
        <v>-3.0851496490251198</v>
      </c>
      <c r="J29" s="86">
        <f>(J27/G27)^(1/3)-1</f>
        <v>20.401414197632757</v>
      </c>
      <c r="K29" s="112">
        <f>(K27/H27)^(1/3)-1</f>
        <v>1.4637798842553917</v>
      </c>
      <c r="L29" s="86">
        <f>(L27/I27)^(1/3)-1</f>
        <v>-3.3674428373860974</v>
      </c>
      <c r="M29" s="86" t="s">
        <v>87</v>
      </c>
      <c r="N29" s="53"/>
      <c r="O29" s="3" t="s">
        <v>138</v>
      </c>
      <c r="P29" s="3"/>
      <c r="Q29" s="7">
        <v>29.138000000000002</v>
      </c>
      <c r="R29" s="7">
        <v>11.922000000000001</v>
      </c>
      <c r="S29" s="7">
        <v>10.728999999999999</v>
      </c>
      <c r="T29" s="80">
        <v>11.000999999999999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/>
      <c r="AA29" s="133"/>
    </row>
    <row r="30" spans="1:30">
      <c r="B30" s="88" t="s">
        <v>22</v>
      </c>
      <c r="C30" s="4">
        <f t="shared" ref="C30:H30" si="21">C27/C4</f>
        <v>1.3895514806129848E-2</v>
      </c>
      <c r="D30" s="4">
        <f t="shared" si="21"/>
        <v>4.1077797525314742E-2</v>
      </c>
      <c r="E30" s="4">
        <f t="shared" si="21"/>
        <v>4.323091779666114E-2</v>
      </c>
      <c r="F30" s="4">
        <f t="shared" si="21"/>
        <v>8.5616252263012518E-2</v>
      </c>
      <c r="G30" s="4">
        <f t="shared" si="21"/>
        <v>5.0038140270178863E-4</v>
      </c>
      <c r="H30" s="4">
        <f t="shared" si="21"/>
        <v>0.13950348917862851</v>
      </c>
      <c r="I30" s="90" t="s">
        <v>87</v>
      </c>
      <c r="J30" s="4">
        <f>J27/J4</f>
        <v>0.19049757458254465</v>
      </c>
      <c r="K30" s="114">
        <f>K27/K4</f>
        <v>0.21651974021916229</v>
      </c>
      <c r="L30" s="4">
        <f>L27/L4</f>
        <v>0.2237313055180751</v>
      </c>
      <c r="M30" s="4">
        <f>M27/M4</f>
        <v>0.23576226476667012</v>
      </c>
      <c r="N30" s="127"/>
      <c r="O30" s="11" t="s">
        <v>51</v>
      </c>
      <c r="P30" s="22">
        <v>217.21</v>
      </c>
      <c r="Q30" s="14">
        <v>109.464</v>
      </c>
      <c r="R30" s="14">
        <v>155.38300000000001</v>
      </c>
      <c r="S30" s="14">
        <v>230.99700000000001</v>
      </c>
      <c r="T30" s="81">
        <v>78.875</v>
      </c>
      <c r="U30" s="81">
        <v>69.111999999999995</v>
      </c>
      <c r="V30" s="80">
        <v>237.36699999999999</v>
      </c>
      <c r="W30" s="80">
        <f>24.51*10</f>
        <v>245.10000000000002</v>
      </c>
      <c r="X30" s="81">
        <v>799.1</v>
      </c>
      <c r="Y30" s="81">
        <v>1714.2</v>
      </c>
      <c r="Z30" s="81">
        <v>14805.1</v>
      </c>
      <c r="AA30" s="135"/>
    </row>
    <row r="31" spans="1:30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118">
        <v>-7</v>
      </c>
      <c r="L31" s="5">
        <v>878.8</v>
      </c>
      <c r="M31" s="5">
        <f>-(0.39-0.14+21.25)*10</f>
        <v>-215</v>
      </c>
      <c r="N31" s="59"/>
      <c r="O31" s="11" t="s">
        <v>52</v>
      </c>
      <c r="P31" s="11">
        <v>74.734999999999999</v>
      </c>
      <c r="Q31" s="14">
        <v>81.605999999999995</v>
      </c>
      <c r="R31" s="14">
        <v>3.6019999999999999</v>
      </c>
      <c r="S31" s="14">
        <v>1.976</v>
      </c>
      <c r="T31" s="81">
        <v>118.233</v>
      </c>
      <c r="U31" s="81">
        <v>3.9929999999999999</v>
      </c>
      <c r="V31" s="80">
        <v>137.31</v>
      </c>
      <c r="W31" s="80">
        <f>27.58*10</f>
        <v>275.79999999999995</v>
      </c>
      <c r="X31" s="81">
        <v>25.9</v>
      </c>
      <c r="Y31" s="81">
        <v>415.5</v>
      </c>
      <c r="Z31" s="81">
        <v>21218.6</v>
      </c>
      <c r="AA31" s="135"/>
    </row>
    <row r="32" spans="1:30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22">SUM(E27+E31)</f>
        <v>208.90300000000002</v>
      </c>
      <c r="F32" s="8">
        <f t="shared" si="22"/>
        <v>315.50900000000013</v>
      </c>
      <c r="G32" s="8">
        <f t="shared" ref="G32:I32" si="23">SUM(G27+G31)</f>
        <v>6.501000000000313</v>
      </c>
      <c r="H32" s="8">
        <f t="shared" si="23"/>
        <v>980.31399999999883</v>
      </c>
      <c r="I32" s="8">
        <f t="shared" si="23"/>
        <v>-2864.6999999999994</v>
      </c>
      <c r="J32" s="8">
        <f>SUM(J27+J31)</f>
        <v>12456.8</v>
      </c>
      <c r="K32" s="95">
        <f>SUM(K27+K31)</f>
        <v>14545.400000000007</v>
      </c>
      <c r="L32" s="8">
        <f>L27+L31</f>
        <v>39165.199999999983</v>
      </c>
      <c r="M32" s="8">
        <f>M27+M31</f>
        <v>17123.899999999987</v>
      </c>
      <c r="N32" s="52"/>
      <c r="O32" s="11" t="s">
        <v>53</v>
      </c>
      <c r="P32" s="11"/>
      <c r="Q32" s="15">
        <v>0</v>
      </c>
      <c r="R32" s="14">
        <v>67.739999999999995</v>
      </c>
      <c r="S32" s="14">
        <v>82.540999999999997</v>
      </c>
      <c r="T32" s="81">
        <v>67.744</v>
      </c>
      <c r="U32" s="81">
        <v>76.385999999999996</v>
      </c>
      <c r="V32" s="80">
        <v>81.418999999999997</v>
      </c>
      <c r="W32" s="80">
        <f>236.98*10</f>
        <v>2369.7999999999997</v>
      </c>
      <c r="X32" s="80">
        <v>2845.4</v>
      </c>
      <c r="Y32" s="80">
        <v>6993.2</v>
      </c>
      <c r="Z32" s="80">
        <v>5810.7</v>
      </c>
      <c r="AA32" s="133"/>
    </row>
    <row r="33" spans="2:29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24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" si="25">I32/H32-1</f>
        <v>-3.9222269599332487</v>
      </c>
      <c r="J33" s="93">
        <f>J32/I32-1</f>
        <v>-5.3483785387649672</v>
      </c>
      <c r="K33" s="119">
        <f>K32/J32-1</f>
        <v>0.16766745873739697</v>
      </c>
      <c r="L33" s="93">
        <f>L32/K32-1</f>
        <v>1.6926175973159876</v>
      </c>
      <c r="M33" s="86" t="s">
        <v>87</v>
      </c>
      <c r="N33" s="55"/>
      <c r="O33" s="3" t="s">
        <v>133</v>
      </c>
      <c r="P33" s="3">
        <v>386.67</v>
      </c>
      <c r="Q33" s="15">
        <v>0</v>
      </c>
      <c r="R33" s="14">
        <v>0</v>
      </c>
      <c r="S33" s="14">
        <v>0</v>
      </c>
      <c r="T33" s="81">
        <v>0</v>
      </c>
      <c r="U33" s="81">
        <v>0</v>
      </c>
      <c r="V33" s="80">
        <v>0</v>
      </c>
      <c r="W33" s="80">
        <f>25.07*10</f>
        <v>250.7</v>
      </c>
      <c r="X33" s="81">
        <v>15</v>
      </c>
      <c r="Y33" s="81">
        <v>2508.3000000000002</v>
      </c>
      <c r="Z33" s="81">
        <v>8895.5</v>
      </c>
      <c r="AA33" s="135"/>
    </row>
    <row r="34" spans="2:29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L34" si="26">(I32/F32)^(1/3)-1</f>
        <v>-3.0861993158111356</v>
      </c>
      <c r="J34" s="86">
        <f>(J32/G32)^(1/3)-1</f>
        <v>11.420586638559806</v>
      </c>
      <c r="K34" s="112">
        <f t="shared" si="26"/>
        <v>1.4572734484270553</v>
      </c>
      <c r="L34" s="86">
        <f t="shared" si="26"/>
        <v>-3.3911513545608982</v>
      </c>
      <c r="M34" s="86" t="s">
        <v>87</v>
      </c>
      <c r="N34" s="53"/>
      <c r="O34" s="11" t="s">
        <v>55</v>
      </c>
      <c r="P34" s="11"/>
      <c r="Q34" s="14">
        <v>184.49700000000001</v>
      </c>
      <c r="R34" s="14">
        <v>151.86600000000001</v>
      </c>
      <c r="S34" s="14">
        <v>116.226</v>
      </c>
      <c r="T34" s="81">
        <v>182.404</v>
      </c>
      <c r="U34" s="81">
        <v>175.80600000000001</v>
      </c>
      <c r="V34" s="80">
        <v>199.91</v>
      </c>
      <c r="W34" s="80">
        <v>0</v>
      </c>
      <c r="X34" s="80">
        <v>0</v>
      </c>
      <c r="Y34" s="80">
        <v>0</v>
      </c>
      <c r="Z34" s="80">
        <v>1110</v>
      </c>
      <c r="AA34" s="133"/>
    </row>
    <row r="35" spans="2:29">
      <c r="B35" s="3"/>
      <c r="C35" s="64"/>
      <c r="D35" s="64"/>
      <c r="E35" s="64"/>
      <c r="F35" s="3"/>
      <c r="G35" s="3"/>
      <c r="H35" s="3"/>
      <c r="I35" s="3"/>
      <c r="J35" s="3"/>
      <c r="K35" s="115"/>
      <c r="L35" s="3"/>
      <c r="M35" s="3"/>
      <c r="O35" s="3" t="s">
        <v>144</v>
      </c>
      <c r="P35" s="3"/>
      <c r="Q35" s="7">
        <v>0</v>
      </c>
      <c r="R35" s="7">
        <v>0</v>
      </c>
      <c r="S35" s="7">
        <v>0</v>
      </c>
      <c r="T35" s="80">
        <v>0</v>
      </c>
      <c r="U35" s="80">
        <v>0</v>
      </c>
      <c r="V35" s="80">
        <v>0</v>
      </c>
      <c r="W35" s="80">
        <f>36.79*10</f>
        <v>367.9</v>
      </c>
      <c r="X35" s="81">
        <v>290.3</v>
      </c>
      <c r="Y35" s="81">
        <v>750.6</v>
      </c>
      <c r="Z35" s="81">
        <v>1050.5999999999999</v>
      </c>
      <c r="AA35" s="135"/>
    </row>
    <row r="36" spans="2:29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120">
        <v>26.12</v>
      </c>
      <c r="L36" s="6">
        <v>66.87</v>
      </c>
      <c r="M36" s="6">
        <v>30.38</v>
      </c>
      <c r="N36" s="60"/>
      <c r="O36" s="3" t="s">
        <v>155</v>
      </c>
      <c r="P36" s="3"/>
      <c r="Q36" s="7"/>
      <c r="R36" s="7"/>
      <c r="S36" s="7"/>
      <c r="T36" s="80"/>
      <c r="U36" s="80"/>
      <c r="V36" s="80"/>
      <c r="W36" s="80"/>
      <c r="X36" s="81"/>
      <c r="Y36" s="81">
        <v>0.4</v>
      </c>
      <c r="Z36" s="81">
        <v>542.1</v>
      </c>
      <c r="AA36" s="135"/>
      <c r="AB36" s="17">
        <f>61384.7-Z38</f>
        <v>-59594.900000000009</v>
      </c>
    </row>
    <row r="37" spans="2:29" ht="13.95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" si="27">I36/H36-1</f>
        <v>-2.7050359712230216</v>
      </c>
      <c r="J37" s="86">
        <f>-(J36/I36-1)</f>
        <v>6.1540084388185647</v>
      </c>
      <c r="K37" s="112">
        <f>K36/J36-1</f>
        <v>6.9177241097011954E-2</v>
      </c>
      <c r="L37" s="112">
        <f>L36/K36-1</f>
        <v>1.5601071975497702</v>
      </c>
      <c r="M37" s="112" t="s">
        <v>87</v>
      </c>
      <c r="N37" s="53"/>
      <c r="O37" s="3" t="s">
        <v>57</v>
      </c>
      <c r="P37" s="3"/>
      <c r="Q37" s="7">
        <v>267.76600000000002</v>
      </c>
      <c r="R37" s="7">
        <v>393.3331</v>
      </c>
      <c r="S37" s="7">
        <v>778.69299999999998</v>
      </c>
      <c r="T37" s="80">
        <v>763.57</v>
      </c>
      <c r="U37" s="80">
        <v>1060.3409999999999</v>
      </c>
      <c r="V37" s="80">
        <v>765</v>
      </c>
      <c r="W37" s="80">
        <f>326.14*10</f>
        <v>3261.3999999999996</v>
      </c>
      <c r="X37" s="81">
        <v>4987.6000000000004</v>
      </c>
      <c r="Y37" s="81">
        <v>6760</v>
      </c>
      <c r="Z37" s="81">
        <v>18210.400000000001</v>
      </c>
      <c r="AA37" s="135"/>
    </row>
    <row r="38" spans="2:29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" si="28">(I36/F36)^(1/3)-1</f>
        <v>-2.4945025684839068</v>
      </c>
      <c r="J38" s="86">
        <f>(J36/G36)^(1/3)-1</f>
        <v>12.468146206534056</v>
      </c>
      <c r="K38" s="112">
        <f>(K36/H36)^(1/3)-1</f>
        <v>1.1101311998288717</v>
      </c>
      <c r="L38" s="112">
        <f>(L36/I36)^(1/3)-1</f>
        <v>-3.4163007786214594</v>
      </c>
      <c r="M38" s="112" t="s">
        <v>87</v>
      </c>
      <c r="N38" s="53"/>
      <c r="O38" s="88" t="s">
        <v>42</v>
      </c>
      <c r="P38" s="8">
        <f t="shared" ref="P38:Z38" si="29">SUM(P39:P45)</f>
        <v>690.17400000000009</v>
      </c>
      <c r="Q38" s="8">
        <f t="shared" si="29"/>
        <v>738.99599999999987</v>
      </c>
      <c r="R38" s="8">
        <f t="shared" si="29"/>
        <v>751.5</v>
      </c>
      <c r="S38" s="8">
        <f t="shared" si="29"/>
        <v>873.13700000000006</v>
      </c>
      <c r="T38" s="48">
        <f t="shared" si="29"/>
        <v>1148.5620000000001</v>
      </c>
      <c r="U38" s="48">
        <f t="shared" si="29"/>
        <v>1467.4009999999998</v>
      </c>
      <c r="V38" s="48">
        <f t="shared" si="29"/>
        <v>1182.0940000000001</v>
      </c>
      <c r="W38" s="48">
        <f t="shared" si="29"/>
        <v>4723.2000000000007</v>
      </c>
      <c r="X38" s="48">
        <f t="shared" si="29"/>
        <v>9859.4000000000015</v>
      </c>
      <c r="Y38" s="48">
        <f t="shared" si="29"/>
        <v>15564.5</v>
      </c>
      <c r="Z38" s="48">
        <f t="shared" si="29"/>
        <v>120979.6</v>
      </c>
      <c r="AA38" s="137"/>
    </row>
    <row r="39" spans="2:29">
      <c r="C39" s="68"/>
      <c r="D39" s="68"/>
      <c r="E39" s="68"/>
      <c r="O39" s="3" t="s">
        <v>127</v>
      </c>
      <c r="P39" s="3">
        <v>640.67100000000005</v>
      </c>
      <c r="Q39" s="7">
        <v>598.86199999999997</v>
      </c>
      <c r="R39" s="7">
        <v>676.03300000000002</v>
      </c>
      <c r="S39" s="7">
        <v>640.27300000000002</v>
      </c>
      <c r="T39" s="80">
        <v>611.23800000000006</v>
      </c>
      <c r="U39" s="80">
        <v>352.52199999999999</v>
      </c>
      <c r="V39" s="80">
        <v>151.83099999999999</v>
      </c>
      <c r="W39" s="80">
        <f>74.53*10</f>
        <v>745.3</v>
      </c>
      <c r="X39" s="81">
        <v>3950.9</v>
      </c>
      <c r="Y39" s="81">
        <v>1080.3</v>
      </c>
      <c r="Z39" s="81">
        <v>26642.3</v>
      </c>
      <c r="AA39" s="135"/>
      <c r="AB39" s="126">
        <v>1147.6300000000001</v>
      </c>
      <c r="AC39">
        <v>75.77</v>
      </c>
    </row>
    <row r="40" spans="2:29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03" t="s">
        <v>145</v>
      </c>
      <c r="K40" s="103" t="s">
        <v>149</v>
      </c>
      <c r="L40" s="2" t="s">
        <v>156</v>
      </c>
      <c r="M40" s="129"/>
      <c r="O40" s="3" t="s">
        <v>128</v>
      </c>
      <c r="P40" s="3">
        <v>0</v>
      </c>
      <c r="Q40" s="14">
        <v>77.89</v>
      </c>
      <c r="R40" s="14">
        <v>17.408999999999999</v>
      </c>
      <c r="S40" s="14">
        <v>75.168999999999997</v>
      </c>
      <c r="T40" s="81">
        <v>268.22000000000003</v>
      </c>
      <c r="U40" s="81">
        <v>777.24800000000005</v>
      </c>
      <c r="V40" s="80">
        <v>744.69500000000005</v>
      </c>
      <c r="W40" s="80">
        <f>1.57*10</f>
        <v>15.700000000000001</v>
      </c>
      <c r="X40" s="80"/>
      <c r="Y40" s="80">
        <v>0</v>
      </c>
      <c r="Z40" s="80">
        <v>4751.1000000000004</v>
      </c>
      <c r="AA40" s="133"/>
    </row>
    <row r="41" spans="2:29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04">
        <f>W31</f>
        <v>275.79999999999995</v>
      </c>
      <c r="K41" s="104">
        <f>J46</f>
        <v>25.900000000002876</v>
      </c>
      <c r="L41" s="7">
        <v>415.5</v>
      </c>
      <c r="M41" s="17"/>
      <c r="O41" s="3" t="s">
        <v>44</v>
      </c>
      <c r="P41" s="3"/>
      <c r="Q41" s="15">
        <v>1.43</v>
      </c>
      <c r="R41" s="14">
        <v>22.384</v>
      </c>
      <c r="S41" s="14">
        <v>82.781999999999996</v>
      </c>
      <c r="T41" s="81">
        <v>143.76</v>
      </c>
      <c r="U41" s="81">
        <v>103.386</v>
      </c>
      <c r="V41" s="80">
        <v>139.29499999999999</v>
      </c>
      <c r="W41" s="80">
        <f>12.12*10</f>
        <v>121.19999999999999</v>
      </c>
      <c r="X41" s="81">
        <v>189.9</v>
      </c>
      <c r="Y41" s="81">
        <v>85.9</v>
      </c>
      <c r="Z41" s="81">
        <v>690.9</v>
      </c>
      <c r="AA41" s="135"/>
    </row>
    <row r="42" spans="2:29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04">
        <v>17010.400000000001</v>
      </c>
      <c r="K42" s="104">
        <v>12069.4</v>
      </c>
      <c r="L42" s="7">
        <v>29213.200000000001</v>
      </c>
      <c r="M42" s="17"/>
      <c r="O42" s="3" t="s">
        <v>43</v>
      </c>
      <c r="P42" s="3">
        <v>49.503</v>
      </c>
      <c r="Q42" s="7">
        <v>60.814</v>
      </c>
      <c r="R42" s="7">
        <v>35.673999999999999</v>
      </c>
      <c r="S42" s="7">
        <v>74.912999999999997</v>
      </c>
      <c r="T42" s="80">
        <v>119.63200000000001</v>
      </c>
      <c r="U42" s="80">
        <v>232.465</v>
      </c>
      <c r="V42" s="80">
        <v>144.18600000000001</v>
      </c>
      <c r="W42" s="80">
        <f>383.49*10</f>
        <v>3834.9</v>
      </c>
      <c r="X42" s="80">
        <v>3083.9</v>
      </c>
      <c r="Y42" s="80">
        <v>11281.1</v>
      </c>
      <c r="Z42" s="80">
        <v>21400.5</v>
      </c>
      <c r="AA42" s="133"/>
    </row>
    <row r="43" spans="2:29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04">
        <v>-17254.099999999999</v>
      </c>
      <c r="K43" s="104">
        <v>-39759.5</v>
      </c>
      <c r="L43" s="7">
        <v>-105425.3</v>
      </c>
      <c r="M43" s="17"/>
      <c r="O43" s="3" t="s">
        <v>65</v>
      </c>
      <c r="P43" s="3"/>
      <c r="Q43" s="14" t="s">
        <v>124</v>
      </c>
      <c r="R43" s="14">
        <v>0</v>
      </c>
      <c r="S43" s="14">
        <v>0</v>
      </c>
      <c r="T43" s="81">
        <v>5.7119999999999997</v>
      </c>
      <c r="U43" s="81">
        <v>1.78</v>
      </c>
      <c r="V43" s="80">
        <v>2.0870000000000002</v>
      </c>
      <c r="W43" s="80">
        <f>0.61*10</f>
        <v>6.1</v>
      </c>
      <c r="X43" s="81">
        <v>36.9</v>
      </c>
      <c r="Y43" s="81">
        <v>35</v>
      </c>
      <c r="Z43" s="81">
        <v>766.3</v>
      </c>
      <c r="AA43" s="135"/>
    </row>
    <row r="44" spans="2:29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04">
        <v>-6.2</v>
      </c>
      <c r="K44" s="104">
        <v>28079.7</v>
      </c>
      <c r="L44" s="7">
        <v>86334.7</v>
      </c>
      <c r="M44" s="17"/>
      <c r="O44" s="3" t="s">
        <v>147</v>
      </c>
      <c r="P44" s="3"/>
      <c r="Q44" s="15"/>
      <c r="R44" s="14">
        <v>0</v>
      </c>
      <c r="S44" s="14">
        <v>0</v>
      </c>
      <c r="T44" s="81">
        <v>0</v>
      </c>
      <c r="U44" s="81">
        <v>0</v>
      </c>
      <c r="V44" s="81">
        <v>0</v>
      </c>
      <c r="W44" s="81">
        <v>0</v>
      </c>
      <c r="X44" s="80">
        <v>2597.8000000000002</v>
      </c>
      <c r="Y44" s="80">
        <v>282.89999999999998</v>
      </c>
      <c r="Z44" s="80">
        <v>1416.7</v>
      </c>
      <c r="AA44" s="133"/>
    </row>
    <row r="45" spans="2:29">
      <c r="B45" s="3" t="s">
        <v>72</v>
      </c>
      <c r="C45" s="62">
        <f t="shared" ref="C45:K45" si="30">C42+C43+C44</f>
        <v>6.8720000000000283</v>
      </c>
      <c r="D45" s="62">
        <f t="shared" si="30"/>
        <v>1.2419999999999911</v>
      </c>
      <c r="E45" s="62">
        <f t="shared" si="30"/>
        <v>-1.6259999999999764</v>
      </c>
      <c r="F45" s="7">
        <f t="shared" si="30"/>
        <v>116.25800000000002</v>
      </c>
      <c r="G45" s="7">
        <f t="shared" si="30"/>
        <v>-114.24299999999994</v>
      </c>
      <c r="H45" s="7">
        <f t="shared" si="30"/>
        <v>133.32000000000016</v>
      </c>
      <c r="I45" s="7">
        <f t="shared" si="30"/>
        <v>138.19999999999891</v>
      </c>
      <c r="J45" s="104">
        <f t="shared" si="30"/>
        <v>-249.89999999999708</v>
      </c>
      <c r="K45" s="104">
        <f t="shared" si="30"/>
        <v>389.60000000000218</v>
      </c>
      <c r="L45" s="7">
        <v>12423.5</v>
      </c>
      <c r="M45" s="17"/>
      <c r="O45" s="3" t="s">
        <v>151</v>
      </c>
      <c r="P45" s="3"/>
      <c r="Q45" s="7"/>
      <c r="R45" s="7">
        <v>0</v>
      </c>
      <c r="S45" s="7">
        <v>0</v>
      </c>
      <c r="T45" s="80"/>
      <c r="U45" s="80"/>
      <c r="V45" s="80"/>
      <c r="W45" s="80"/>
      <c r="X45" s="80"/>
      <c r="Y45" s="80">
        <v>2799.3</v>
      </c>
      <c r="Z45" s="80">
        <v>65311.8</v>
      </c>
      <c r="AA45" s="133"/>
    </row>
    <row r="46" spans="2:29">
      <c r="B46" s="88" t="s">
        <v>73</v>
      </c>
      <c r="C46" s="8">
        <f t="shared" ref="C46:K46" si="31">C41+C45</f>
        <v>81.607000000000028</v>
      </c>
      <c r="D46" s="8">
        <f t="shared" si="31"/>
        <v>3.601999999999991</v>
      </c>
      <c r="E46" s="8">
        <f t="shared" si="31"/>
        <v>1.9760000000000235</v>
      </c>
      <c r="F46" s="8">
        <f t="shared" si="31"/>
        <v>118.23400000000002</v>
      </c>
      <c r="G46" s="8">
        <f t="shared" si="31"/>
        <v>3.9900000000000659</v>
      </c>
      <c r="H46" s="8">
        <f t="shared" si="31"/>
        <v>137.31000000000017</v>
      </c>
      <c r="I46" s="8">
        <f t="shared" si="31"/>
        <v>275.49999999999892</v>
      </c>
      <c r="J46" s="95">
        <f t="shared" si="31"/>
        <v>25.900000000002876</v>
      </c>
      <c r="K46" s="95">
        <f t="shared" si="31"/>
        <v>415.50000000000506</v>
      </c>
      <c r="L46" s="95">
        <f>L41+L45+8379.6</f>
        <v>21218.6</v>
      </c>
      <c r="M46" s="132"/>
      <c r="O46" s="88" t="s">
        <v>45</v>
      </c>
      <c r="P46" s="8">
        <f t="shared" ref="P46:Z46" si="32">P26-P38</f>
        <v>553.851</v>
      </c>
      <c r="Q46" s="8">
        <f t="shared" si="32"/>
        <v>614.8430000000003</v>
      </c>
      <c r="R46" s="8">
        <f t="shared" si="32"/>
        <v>710.93110000000024</v>
      </c>
      <c r="S46" s="8">
        <f t="shared" si="32"/>
        <v>1084.4340000000002</v>
      </c>
      <c r="T46" s="48">
        <f t="shared" si="32"/>
        <v>914.43299999999977</v>
      </c>
      <c r="U46" s="48">
        <f t="shared" si="32"/>
        <v>1075.337</v>
      </c>
      <c r="V46" s="48">
        <f t="shared" si="32"/>
        <v>1907.3169999999996</v>
      </c>
      <c r="W46" s="48">
        <f t="shared" si="32"/>
        <v>4744.9999999999964</v>
      </c>
      <c r="X46" s="48">
        <f t="shared" si="32"/>
        <v>1414.7999999999993</v>
      </c>
      <c r="Y46" s="48">
        <f t="shared" si="32"/>
        <v>7904.8999999999978</v>
      </c>
      <c r="Z46" s="48">
        <f t="shared" si="32"/>
        <v>-22740.600000000006</v>
      </c>
      <c r="AA46" s="137"/>
    </row>
    <row r="47" spans="2:29">
      <c r="C47" s="68"/>
      <c r="D47" s="68"/>
      <c r="E47" s="68"/>
      <c r="K47" s="105"/>
      <c r="O47" s="3" t="s">
        <v>46</v>
      </c>
      <c r="P47" s="3">
        <v>38.729999999999997</v>
      </c>
      <c r="Q47" s="14">
        <v>39.619999999999997</v>
      </c>
      <c r="R47" s="14">
        <v>43.482999999999997</v>
      </c>
      <c r="S47" s="14">
        <v>50.866</v>
      </c>
      <c r="T47" s="81">
        <v>57.308</v>
      </c>
      <c r="U47" s="81">
        <v>57.37</v>
      </c>
      <c r="V47" s="80">
        <v>53.631999999999998</v>
      </c>
      <c r="W47" s="80">
        <f>22.56*10</f>
        <v>225.6</v>
      </c>
      <c r="X47" s="80">
        <v>248.9</v>
      </c>
      <c r="Y47" s="80">
        <v>287.60000000000002</v>
      </c>
      <c r="Z47" s="80">
        <v>1202.8</v>
      </c>
      <c r="AA47" s="133"/>
    </row>
    <row r="48" spans="2:29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06" t="s">
        <v>145</v>
      </c>
      <c r="K48" s="106" t="s">
        <v>149</v>
      </c>
      <c r="L48" s="2" t="s">
        <v>157</v>
      </c>
      <c r="M48" s="129"/>
      <c r="O48" s="3" t="s">
        <v>127</v>
      </c>
      <c r="P48" s="3"/>
      <c r="Q48" s="14">
        <v>539.19500000000005</v>
      </c>
      <c r="R48" s="14"/>
      <c r="S48" s="14"/>
      <c r="T48" s="81"/>
      <c r="U48" s="81"/>
      <c r="V48" s="80"/>
      <c r="W48" s="80"/>
      <c r="X48" s="80"/>
      <c r="Y48" s="80"/>
      <c r="Z48" s="80"/>
      <c r="AA48" s="133"/>
    </row>
    <row r="49" spans="2:28">
      <c r="B49" s="78" t="s">
        <v>78</v>
      </c>
      <c r="C49" s="72">
        <f t="shared" ref="C49:L49" si="33">C42</f>
        <v>505.82100000000003</v>
      </c>
      <c r="D49" s="72">
        <f t="shared" si="33"/>
        <v>543.60699999999997</v>
      </c>
      <c r="E49" s="73">
        <f t="shared" si="33"/>
        <v>-382.56599999999997</v>
      </c>
      <c r="F49" s="83">
        <f t="shared" si="33"/>
        <v>515.65300000000002</v>
      </c>
      <c r="G49" s="83">
        <f t="shared" si="33"/>
        <v>-149.405</v>
      </c>
      <c r="H49" s="83">
        <f t="shared" si="33"/>
        <v>-782.08399999999995</v>
      </c>
      <c r="I49" s="83">
        <f t="shared" si="33"/>
        <v>-5164.4000000000005</v>
      </c>
      <c r="J49" s="99">
        <f t="shared" si="33"/>
        <v>17010.400000000001</v>
      </c>
      <c r="K49" s="99">
        <f t="shared" si="33"/>
        <v>12069.4</v>
      </c>
      <c r="L49" s="83">
        <f t="shared" si="33"/>
        <v>29213.200000000001</v>
      </c>
      <c r="M49" s="134"/>
      <c r="O49" s="3" t="s">
        <v>128</v>
      </c>
      <c r="P49" s="3"/>
      <c r="Q49" s="14">
        <v>238.47900000000001</v>
      </c>
      <c r="R49" s="14"/>
      <c r="S49" s="14"/>
      <c r="T49" s="81"/>
      <c r="U49" s="81"/>
      <c r="V49" s="80"/>
      <c r="W49" s="80"/>
      <c r="X49" s="80"/>
      <c r="Y49" s="80"/>
      <c r="Z49" s="80">
        <v>243.7</v>
      </c>
      <c r="AA49" s="133"/>
    </row>
    <row r="50" spans="2:28">
      <c r="B50" s="16" t="s">
        <v>79</v>
      </c>
      <c r="C50" s="67">
        <f t="shared" ref="C50:L50" si="34">(Q17-P17)+C19</f>
        <v>402.02200000000005</v>
      </c>
      <c r="D50" s="67">
        <f t="shared" si="34"/>
        <v>420.27099999999979</v>
      </c>
      <c r="E50" s="67">
        <f t="shared" si="34"/>
        <v>250.19500000000002</v>
      </c>
      <c r="F50" s="81">
        <f t="shared" si="34"/>
        <v>303.23300000000017</v>
      </c>
      <c r="G50" s="81">
        <f t="shared" si="34"/>
        <v>37.657999999999731</v>
      </c>
      <c r="H50" s="81">
        <f t="shared" si="34"/>
        <v>561.65300000000002</v>
      </c>
      <c r="I50" s="81">
        <f t="shared" si="34"/>
        <v>985.33300000000008</v>
      </c>
      <c r="J50" s="82">
        <f t="shared" si="34"/>
        <v>7311.4</v>
      </c>
      <c r="K50" s="82">
        <f t="shared" si="34"/>
        <v>5318.6</v>
      </c>
      <c r="L50" s="82">
        <f t="shared" si="34"/>
        <v>89918.3</v>
      </c>
      <c r="M50" s="135"/>
      <c r="O50" s="3" t="s">
        <v>134</v>
      </c>
      <c r="P50" s="3">
        <v>3164.2020000000002</v>
      </c>
      <c r="Q50" s="14">
        <v>2533.973</v>
      </c>
      <c r="R50" s="14">
        <v>3630.0509999999999</v>
      </c>
      <c r="S50" s="14">
        <v>3049.47</v>
      </c>
      <c r="T50" s="81">
        <v>2757.0320000000002</v>
      </c>
      <c r="U50" s="81">
        <v>2821.7289999999998</v>
      </c>
      <c r="V50" s="80">
        <v>1614.3430000000001</v>
      </c>
      <c r="W50" s="80">
        <v>0</v>
      </c>
      <c r="X50" s="80">
        <v>0</v>
      </c>
      <c r="Y50" s="80">
        <v>0</v>
      </c>
      <c r="Z50" s="80">
        <v>8310.1</v>
      </c>
      <c r="AA50" s="133"/>
    </row>
    <row r="51" spans="2:28">
      <c r="B51" s="96" t="s">
        <v>80</v>
      </c>
      <c r="C51" s="97">
        <f>C49-C50</f>
        <v>103.79899999999998</v>
      </c>
      <c r="D51" s="97">
        <f t="shared" ref="D51:F51" si="35">D49-D50</f>
        <v>123.33600000000018</v>
      </c>
      <c r="E51" s="97">
        <f t="shared" si="35"/>
        <v>-632.76099999999997</v>
      </c>
      <c r="F51" s="97">
        <f t="shared" si="35"/>
        <v>212.41999999999985</v>
      </c>
      <c r="G51" s="97">
        <f t="shared" ref="G51:K51" si="36">G49-G50</f>
        <v>-187.06299999999973</v>
      </c>
      <c r="H51" s="97">
        <f t="shared" si="36"/>
        <v>-1343.7370000000001</v>
      </c>
      <c r="I51" s="97">
        <f t="shared" si="36"/>
        <v>-6149.7330000000002</v>
      </c>
      <c r="J51" s="95">
        <f t="shared" si="36"/>
        <v>9699.0000000000018</v>
      </c>
      <c r="K51" s="95">
        <f t="shared" si="36"/>
        <v>6750.7999999999993</v>
      </c>
      <c r="L51" s="95">
        <f>L49-L50</f>
        <v>-60705.100000000006</v>
      </c>
      <c r="M51" s="132"/>
      <c r="O51" s="3" t="s">
        <v>65</v>
      </c>
      <c r="P51" s="3"/>
      <c r="Q51" s="7"/>
      <c r="R51" s="7"/>
      <c r="S51" s="7"/>
      <c r="T51" s="80">
        <v>25.268000000000001</v>
      </c>
      <c r="U51" s="80">
        <v>6.3840000000000003</v>
      </c>
      <c r="V51" s="80">
        <v>4.2969999999999997</v>
      </c>
      <c r="W51" s="80">
        <f>2.19*10</f>
        <v>21.9</v>
      </c>
      <c r="X51" s="80">
        <v>294.39999999999998</v>
      </c>
      <c r="Y51" s="80">
        <v>359.2</v>
      </c>
      <c r="Z51" s="80">
        <v>2593</v>
      </c>
      <c r="AA51" s="133"/>
      <c r="AB51" s="17"/>
    </row>
    <row r="52" spans="2:28">
      <c r="C52" s="68"/>
      <c r="D52" s="68"/>
      <c r="E52" s="68"/>
      <c r="K52" s="105"/>
      <c r="O52" s="3" t="s">
        <v>58</v>
      </c>
      <c r="P52" s="3"/>
      <c r="Q52" s="7"/>
      <c r="R52" s="7">
        <v>0</v>
      </c>
      <c r="S52" s="7">
        <v>0</v>
      </c>
      <c r="T52" s="80">
        <v>0</v>
      </c>
      <c r="U52" s="80">
        <v>0</v>
      </c>
      <c r="V52" s="80">
        <v>0</v>
      </c>
      <c r="W52" s="80">
        <v>0</v>
      </c>
      <c r="X52" s="80">
        <v>864</v>
      </c>
      <c r="Y52" s="80">
        <v>755.2</v>
      </c>
      <c r="Z52" s="80">
        <v>2016.5</v>
      </c>
      <c r="AA52" s="133"/>
      <c r="AB52" s="17">
        <f>Y53-Y54</f>
        <v>0</v>
      </c>
    </row>
    <row r="53" spans="2:28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9" t="s">
        <v>145</v>
      </c>
      <c r="K53" s="106" t="s">
        <v>149</v>
      </c>
      <c r="L53" s="9" t="s">
        <v>157</v>
      </c>
      <c r="M53" s="131" t="s">
        <v>158</v>
      </c>
      <c r="O53" s="88" t="s">
        <v>47</v>
      </c>
      <c r="P53" s="8">
        <f t="shared" ref="P53:Z53" si="37">SUM(P16+P26)</f>
        <v>5020.7029999999995</v>
      </c>
      <c r="Q53" s="8">
        <f t="shared" si="37"/>
        <v>5026.8440000000001</v>
      </c>
      <c r="R53" s="8">
        <f t="shared" si="37"/>
        <v>5561.1970999999994</v>
      </c>
      <c r="S53" s="8">
        <f t="shared" si="37"/>
        <v>5908.8969999999999</v>
      </c>
      <c r="T53" s="48">
        <f t="shared" si="37"/>
        <v>6421.0629999999992</v>
      </c>
      <c r="U53" s="48">
        <f t="shared" si="37"/>
        <v>7202.5379999999986</v>
      </c>
      <c r="V53" s="48">
        <f t="shared" si="37"/>
        <v>8237.9938000000002</v>
      </c>
      <c r="W53" s="48">
        <f t="shared" si="37"/>
        <v>20260.299999999996</v>
      </c>
      <c r="X53" s="48">
        <f t="shared" si="37"/>
        <v>39375.400000000009</v>
      </c>
      <c r="Y53" s="48">
        <f t="shared" si="37"/>
        <v>89106.4</v>
      </c>
      <c r="Z53" s="48">
        <f t="shared" si="37"/>
        <v>416498.7</v>
      </c>
      <c r="AA53" s="137"/>
    </row>
    <row r="54" spans="2:28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113">
        <v>523241945</v>
      </c>
      <c r="L54" s="124">
        <v>562785088</v>
      </c>
      <c r="M54" s="136">
        <v>562906951</v>
      </c>
      <c r="O54" s="88" t="s">
        <v>48</v>
      </c>
      <c r="P54" s="8">
        <f>SUM(P38+P6+P47+P50+P51+P52+P11)</f>
        <v>4632.6009999999997</v>
      </c>
      <c r="Q54" s="8">
        <f>SUM(Q38+Q6+Q47+Q50+Q51+Q52+Q11+Q48+Q49)</f>
        <v>5026.8469999999998</v>
      </c>
      <c r="R54" s="8">
        <f t="shared" ref="R54:X54" si="38">SUM(R38+R6+R47+R50+R51+R52+R11)</f>
        <v>5561.1950000000006</v>
      </c>
      <c r="S54" s="8">
        <f t="shared" si="38"/>
        <v>5908.8969999999999</v>
      </c>
      <c r="T54" s="48">
        <f t="shared" si="38"/>
        <v>6421.0630000000001</v>
      </c>
      <c r="U54" s="48">
        <f t="shared" si="38"/>
        <v>7202.5349999999999</v>
      </c>
      <c r="V54" s="48">
        <f t="shared" si="38"/>
        <v>8238.0729999999985</v>
      </c>
      <c r="W54" s="48">
        <f t="shared" si="38"/>
        <v>20260.2</v>
      </c>
      <c r="X54" s="48">
        <f t="shared" si="38"/>
        <v>39375.400000000009</v>
      </c>
      <c r="Y54" s="48">
        <f>SUM(Y38+Y6+Y47+Y50+Y51+Y52+Y11)-Y9</f>
        <v>89106.39999999998</v>
      </c>
      <c r="Z54" s="48">
        <f>SUM(Z38+Z6+Z47+Z50+Z51+Z52+Z8+Z7+Z49)</f>
        <v>416498.69999999995</v>
      </c>
      <c r="AA54" s="137"/>
    </row>
    <row r="55" spans="2:28">
      <c r="B55" s="16" t="s">
        <v>82</v>
      </c>
      <c r="C55" s="63">
        <f t="shared" ref="C55:M55" si="39">Q58*C54/1000000</f>
        <v>3405.5134739999999</v>
      </c>
      <c r="D55" s="63">
        <f t="shared" si="39"/>
        <v>3405.5134739999999</v>
      </c>
      <c r="E55" s="63">
        <f t="shared" si="39"/>
        <v>2773.3789468</v>
      </c>
      <c r="F55" s="80">
        <f t="shared" si="39"/>
        <v>1297.0275839999999</v>
      </c>
      <c r="G55" s="80">
        <f t="shared" si="39"/>
        <v>2769.2414199999998</v>
      </c>
      <c r="H55" s="80">
        <f t="shared" si="39"/>
        <v>48910.604532999998</v>
      </c>
      <c r="I55" s="80">
        <f t="shared" si="39"/>
        <v>143723.455434</v>
      </c>
      <c r="J55" s="101">
        <f t="shared" si="39"/>
        <v>302747.91817199998</v>
      </c>
      <c r="K55" s="121">
        <f t="shared" si="39"/>
        <v>672627.52029749996</v>
      </c>
      <c r="L55" s="101">
        <f t="shared" si="39"/>
        <v>715131.01132159994</v>
      </c>
      <c r="M55" s="101">
        <f t="shared" si="39"/>
        <v>1019311.9068708</v>
      </c>
    </row>
    <row r="56" spans="2:28">
      <c r="B56" s="16" t="s">
        <v>83</v>
      </c>
      <c r="C56" s="75">
        <f t="shared" ref="C56:M56" si="40">Q11</f>
        <v>260.34699999999998</v>
      </c>
      <c r="D56" s="75">
        <f t="shared" si="40"/>
        <v>291.81799999999998</v>
      </c>
      <c r="E56" s="75">
        <f t="shared" si="40"/>
        <v>852.8889999999999</v>
      </c>
      <c r="F56" s="80">
        <f t="shared" si="40"/>
        <v>988.83799999999997</v>
      </c>
      <c r="G56" s="80">
        <f t="shared" si="40"/>
        <v>1028.598</v>
      </c>
      <c r="H56" s="80">
        <f t="shared" si="40"/>
        <v>567.19899999999996</v>
      </c>
      <c r="I56" s="80">
        <f t="shared" si="40"/>
        <v>0</v>
      </c>
      <c r="J56" s="80">
        <f t="shared" si="40"/>
        <v>0</v>
      </c>
      <c r="K56" s="113">
        <f t="shared" si="40"/>
        <v>10338.400000000001</v>
      </c>
      <c r="L56" s="80">
        <f t="shared" si="40"/>
        <v>203804.3</v>
      </c>
      <c r="M56" s="80">
        <v>203804.3</v>
      </c>
      <c r="O56" s="143" t="s">
        <v>96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31"/>
    </row>
    <row r="57" spans="2:28">
      <c r="B57" s="16" t="s">
        <v>84</v>
      </c>
      <c r="C57" s="70">
        <f t="shared" ref="C57:M58" si="41">Q31</f>
        <v>81.605999999999995</v>
      </c>
      <c r="D57" s="70">
        <f t="shared" si="41"/>
        <v>3.6019999999999999</v>
      </c>
      <c r="E57" s="70">
        <f t="shared" si="41"/>
        <v>1.976</v>
      </c>
      <c r="F57" s="80">
        <f t="shared" si="41"/>
        <v>118.233</v>
      </c>
      <c r="G57" s="80">
        <f t="shared" si="41"/>
        <v>3.9929999999999999</v>
      </c>
      <c r="H57" s="80">
        <f t="shared" si="41"/>
        <v>137.31</v>
      </c>
      <c r="I57" s="80">
        <f t="shared" si="41"/>
        <v>275.79999999999995</v>
      </c>
      <c r="J57" s="80">
        <f t="shared" si="41"/>
        <v>25.9</v>
      </c>
      <c r="K57" s="113">
        <f t="shared" si="41"/>
        <v>415.5</v>
      </c>
      <c r="L57" s="80">
        <f t="shared" si="41"/>
        <v>21218.6</v>
      </c>
      <c r="M57" s="80">
        <v>21218.6</v>
      </c>
      <c r="O57" s="16"/>
      <c r="P57" s="16"/>
      <c r="Q57" s="9" t="s">
        <v>2</v>
      </c>
      <c r="R57" s="9" t="s">
        <v>3</v>
      </c>
      <c r="S57" s="9" t="s">
        <v>4</v>
      </c>
      <c r="T57" s="9" t="s">
        <v>5</v>
      </c>
      <c r="U57" s="9" t="s">
        <v>6</v>
      </c>
      <c r="V57" s="9" t="s">
        <v>107</v>
      </c>
      <c r="W57" s="2" t="s">
        <v>143</v>
      </c>
      <c r="X57" s="9" t="s">
        <v>145</v>
      </c>
      <c r="Y57" s="2" t="s">
        <v>149</v>
      </c>
      <c r="Z57" s="9" t="s">
        <v>157</v>
      </c>
      <c r="AA57" s="9" t="s">
        <v>158</v>
      </c>
    </row>
    <row r="58" spans="2:28">
      <c r="B58" s="16" t="s">
        <v>85</v>
      </c>
      <c r="C58" s="70">
        <f t="shared" si="41"/>
        <v>0</v>
      </c>
      <c r="D58" s="70">
        <f t="shared" si="41"/>
        <v>67.739999999999995</v>
      </c>
      <c r="E58" s="70">
        <f t="shared" si="41"/>
        <v>82.540999999999997</v>
      </c>
      <c r="F58" s="80">
        <f t="shared" si="41"/>
        <v>67.744</v>
      </c>
      <c r="G58" s="80">
        <f t="shared" si="41"/>
        <v>76.385999999999996</v>
      </c>
      <c r="H58" s="80">
        <f t="shared" si="41"/>
        <v>81.418999999999997</v>
      </c>
      <c r="I58" s="80">
        <f t="shared" si="41"/>
        <v>2369.7999999999997</v>
      </c>
      <c r="J58" s="80">
        <f t="shared" si="41"/>
        <v>2845.4</v>
      </c>
      <c r="K58" s="113">
        <f t="shared" si="41"/>
        <v>6993.2</v>
      </c>
      <c r="L58" s="80">
        <f t="shared" si="41"/>
        <v>5810.7</v>
      </c>
      <c r="M58" s="80">
        <v>5810.7</v>
      </c>
      <c r="O58" s="16" t="s">
        <v>97</v>
      </c>
      <c r="P58" s="16"/>
      <c r="Q58" s="18">
        <v>15.3</v>
      </c>
      <c r="R58" s="18">
        <v>15.3</v>
      </c>
      <c r="S58" s="18">
        <v>12.46</v>
      </c>
      <c r="T58" s="7">
        <v>5.76</v>
      </c>
      <c r="U58" s="7">
        <v>11</v>
      </c>
      <c r="V58" s="7">
        <v>132.65</v>
      </c>
      <c r="W58" s="7">
        <v>284.7</v>
      </c>
      <c r="X58" s="7">
        <v>599.20000000000005</v>
      </c>
      <c r="Y58" s="7">
        <v>1285.5</v>
      </c>
      <c r="Z58" s="128">
        <v>1270.7</v>
      </c>
      <c r="AA58" s="128">
        <v>1810.8</v>
      </c>
    </row>
    <row r="59" spans="2:28">
      <c r="B59" s="88" t="s">
        <v>86</v>
      </c>
      <c r="C59" s="98">
        <f t="shared" ref="C59:G59" si="42">C55+C56-C57-C58</f>
        <v>3584.2544740000003</v>
      </c>
      <c r="D59" s="98">
        <f t="shared" si="42"/>
        <v>3625.989474</v>
      </c>
      <c r="E59" s="98">
        <f t="shared" si="42"/>
        <v>3541.7509467999994</v>
      </c>
      <c r="F59" s="48">
        <f t="shared" si="42"/>
        <v>2099.8885839999998</v>
      </c>
      <c r="G59" s="48">
        <f t="shared" si="42"/>
        <v>3717.4604199999999</v>
      </c>
      <c r="H59" s="48">
        <f t="shared" ref="H59:M59" si="43">H55+H56-H57-H58</f>
        <v>49259.074532999999</v>
      </c>
      <c r="I59" s="48">
        <f t="shared" si="43"/>
        <v>141077.85543400003</v>
      </c>
      <c r="J59" s="48">
        <f t="shared" si="43"/>
        <v>299876.61817199993</v>
      </c>
      <c r="K59" s="122">
        <f t="shared" si="43"/>
        <v>675557.22029750003</v>
      </c>
      <c r="L59" s="48">
        <f t="shared" si="43"/>
        <v>891906.01132159994</v>
      </c>
      <c r="M59" s="48">
        <f>M55+M56-M57-M58</f>
        <v>1196086.9068707998</v>
      </c>
      <c r="O59" s="16" t="s">
        <v>98</v>
      </c>
      <c r="P59" s="16"/>
      <c r="Q59" s="18">
        <f t="shared" ref="Q59:AA59" si="44">C36</f>
        <v>0.54</v>
      </c>
      <c r="R59" s="18">
        <f t="shared" si="44"/>
        <v>0.77</v>
      </c>
      <c r="S59" s="18">
        <f t="shared" si="44"/>
        <v>0.93</v>
      </c>
      <c r="T59" s="7">
        <f t="shared" si="44"/>
        <v>1.42</v>
      </c>
      <c r="U59" s="7">
        <f t="shared" si="44"/>
        <v>0.01</v>
      </c>
      <c r="V59" s="7">
        <f t="shared" si="44"/>
        <v>2.78</v>
      </c>
      <c r="W59" s="7">
        <f t="shared" si="44"/>
        <v>-4.74</v>
      </c>
      <c r="X59" s="7">
        <f t="shared" si="44"/>
        <v>24.43</v>
      </c>
      <c r="Y59" s="7">
        <f t="shared" si="44"/>
        <v>26.12</v>
      </c>
      <c r="Z59" s="7">
        <f t="shared" si="44"/>
        <v>66.87</v>
      </c>
      <c r="AA59" s="7">
        <f>M36+L36-11.59</f>
        <v>85.66</v>
      </c>
      <c r="AB59" s="123" t="s">
        <v>152</v>
      </c>
    </row>
    <row r="60" spans="2:28">
      <c r="O60" s="16" t="s">
        <v>99</v>
      </c>
      <c r="P60" s="16"/>
      <c r="Q60" s="14">
        <f t="shared" ref="Q60:AA60" si="45">Q6*1000000/C54</f>
        <v>3.038139822083112</v>
      </c>
      <c r="R60" s="14">
        <f t="shared" si="45"/>
        <v>3.7933920974408695</v>
      </c>
      <c r="S60" s="14">
        <f t="shared" si="45"/>
        <v>4.8635207660904998</v>
      </c>
      <c r="T60" s="14">
        <f t="shared" si="45"/>
        <v>6.4129374753528756</v>
      </c>
      <c r="U60" s="14">
        <f t="shared" si="45"/>
        <v>7.2335993732175217</v>
      </c>
      <c r="V60" s="14">
        <f t="shared" si="45"/>
        <v>13.062806978166204</v>
      </c>
      <c r="W60" s="47">
        <f t="shared" si="45"/>
        <v>30.286779822093322</v>
      </c>
      <c r="X60" s="81">
        <f t="shared" si="45"/>
        <v>55.632861628568321</v>
      </c>
      <c r="Y60" s="107">
        <f t="shared" si="45"/>
        <v>123.4625790560426</v>
      </c>
      <c r="Z60" s="107">
        <f t="shared" si="45"/>
        <v>246.46868397479642</v>
      </c>
      <c r="AA60" s="107">
        <f t="shared" si="45"/>
        <v>0</v>
      </c>
    </row>
    <row r="61" spans="2:28">
      <c r="I61" s="46"/>
      <c r="O61" s="16" t="s">
        <v>105</v>
      </c>
      <c r="P61" s="16"/>
      <c r="Q61" s="13">
        <f t="shared" ref="Q61:X61" si="46">Q58/Q59</f>
        <v>28.333333333333332</v>
      </c>
      <c r="R61" s="13">
        <f t="shared" si="46"/>
        <v>19.870129870129869</v>
      </c>
      <c r="S61" s="13">
        <f t="shared" si="46"/>
        <v>13.397849462365592</v>
      </c>
      <c r="T61" s="13">
        <f t="shared" si="46"/>
        <v>4.056338028169014</v>
      </c>
      <c r="U61" s="13">
        <f t="shared" si="46"/>
        <v>1100</v>
      </c>
      <c r="V61" s="13">
        <f t="shared" si="46"/>
        <v>47.7158273381295</v>
      </c>
      <c r="W61" s="22" t="s">
        <v>87</v>
      </c>
      <c r="X61" s="13">
        <f t="shared" si="46"/>
        <v>24.527220630372494</v>
      </c>
      <c r="Y61" s="7">
        <f>Y58/Y59</f>
        <v>49.215160796324653</v>
      </c>
      <c r="Z61" s="7">
        <f>Z58/Z59</f>
        <v>19.002542246149243</v>
      </c>
      <c r="AA61" s="7">
        <f>AA58/AA59</f>
        <v>21.139388279243523</v>
      </c>
    </row>
    <row r="62" spans="2:28">
      <c r="D62" s="37"/>
      <c r="E62" s="36"/>
      <c r="O62" s="16" t="s">
        <v>88</v>
      </c>
      <c r="P62" s="16"/>
      <c r="Q62" s="7">
        <f t="shared" ref="Q62:V62" si="47">Q58/Q60</f>
        <v>5.0359762538873207</v>
      </c>
      <c r="R62" s="7">
        <f t="shared" si="47"/>
        <v>4.0333294336543322</v>
      </c>
      <c r="S62" s="7">
        <f t="shared" si="47"/>
        <v>2.5619300501138533</v>
      </c>
      <c r="T62" s="7">
        <f t="shared" si="47"/>
        <v>0.89818433785416762</v>
      </c>
      <c r="U62" s="7">
        <f t="shared" si="47"/>
        <v>1.5206813969719717</v>
      </c>
      <c r="V62" s="7">
        <f t="shared" si="47"/>
        <v>10.154785278670772</v>
      </c>
      <c r="W62" s="7">
        <f>W58/W60</f>
        <v>9.400140974786618</v>
      </c>
      <c r="X62" s="7">
        <f>X58/X60</f>
        <v>10.770612592257914</v>
      </c>
      <c r="Y62" s="7">
        <f>Y58/Y60</f>
        <v>10.412061774738085</v>
      </c>
      <c r="Z62" s="7">
        <f>Z58/Z60</f>
        <v>5.1556245584933631</v>
      </c>
      <c r="AA62" s="7" t="s">
        <v>87</v>
      </c>
    </row>
    <row r="63" spans="2:28">
      <c r="O63" s="16" t="s">
        <v>89</v>
      </c>
      <c r="P63" s="16"/>
      <c r="Q63" s="13">
        <f t="shared" ref="Q63:AA63" si="48">C59/C15</f>
        <v>24.237423834028739</v>
      </c>
      <c r="R63" s="13">
        <f t="shared" si="48"/>
        <v>22.049727412038006</v>
      </c>
      <c r="S63" s="13">
        <f t="shared" si="48"/>
        <v>22.477745637094056</v>
      </c>
      <c r="T63" s="7">
        <f t="shared" si="48"/>
        <v>9.9387013877056418</v>
      </c>
      <c r="U63" s="7">
        <f t="shared" si="48"/>
        <v>34.193605658676482</v>
      </c>
      <c r="V63" s="7">
        <f t="shared" si="48"/>
        <v>33.847403838172596</v>
      </c>
      <c r="W63" s="7">
        <f t="shared" si="48"/>
        <v>17.41057082981612</v>
      </c>
      <c r="X63" s="7">
        <f t="shared" si="48"/>
        <v>17.321293056617719</v>
      </c>
      <c r="Y63" s="7">
        <f t="shared" si="48"/>
        <v>33.619011187016334</v>
      </c>
      <c r="Z63" s="7">
        <f t="shared" si="48"/>
        <v>14.081488805798651</v>
      </c>
      <c r="AA63" s="139" t="s">
        <v>87</v>
      </c>
    </row>
    <row r="64" spans="2:28">
      <c r="O64" s="16" t="s">
        <v>100</v>
      </c>
      <c r="P64" s="16"/>
      <c r="Q64" s="19">
        <f t="shared" ref="Q64:Z64" si="49">C27/Q6</f>
        <v>8.239714774553869E-2</v>
      </c>
      <c r="R64" s="19">
        <f t="shared" si="49"/>
        <v>0.20174384106932836</v>
      </c>
      <c r="S64" s="19">
        <f t="shared" si="49"/>
        <v>0.19060168955276274</v>
      </c>
      <c r="T64" s="19">
        <f t="shared" si="49"/>
        <v>0.22039950001904368</v>
      </c>
      <c r="U64" s="19">
        <f t="shared" si="49"/>
        <v>6.963004371648235E-4</v>
      </c>
      <c r="V64" s="19">
        <f t="shared" si="49"/>
        <v>0.20202104927470252</v>
      </c>
      <c r="W64" s="19">
        <f t="shared" si="49"/>
        <v>-0.18871774747375644</v>
      </c>
      <c r="X64" s="108">
        <f t="shared" si="49"/>
        <v>0.44218693856350522</v>
      </c>
      <c r="Y64" s="108">
        <f t="shared" si="49"/>
        <v>0.2252665601664377</v>
      </c>
      <c r="Z64" s="108">
        <f t="shared" si="49"/>
        <v>0.27601977955271784</v>
      </c>
      <c r="AA64" s="139" t="s">
        <v>87</v>
      </c>
    </row>
    <row r="65" spans="3:27">
      <c r="O65" s="16" t="s">
        <v>101</v>
      </c>
      <c r="P65" s="16"/>
      <c r="Q65" s="19">
        <f t="shared" ref="Q65:Z65" si="50">(C23+C21)/Q12</f>
        <v>3.8190131564577276E-2</v>
      </c>
      <c r="R65" s="19">
        <f t="shared" si="50"/>
        <v>5.9433989228741123E-2</v>
      </c>
      <c r="S65" s="19">
        <f t="shared" si="50"/>
        <v>6.292708938279927E-2</v>
      </c>
      <c r="T65" s="19">
        <f t="shared" si="50"/>
        <v>5.7332964171683751E-2</v>
      </c>
      <c r="U65" s="19">
        <f t="shared" si="50"/>
        <v>3.0061023043178037E-2</v>
      </c>
      <c r="V65" s="19">
        <f t="shared" si="50"/>
        <v>0.22293362834554906</v>
      </c>
      <c r="W65" s="19">
        <f t="shared" si="50"/>
        <v>0.55465018986934422</v>
      </c>
      <c r="X65" s="108">
        <f t="shared" si="50"/>
        <v>0.58687152730722303</v>
      </c>
      <c r="Y65" s="108">
        <f t="shared" si="50"/>
        <v>0.26225185914424304</v>
      </c>
      <c r="Z65" s="108">
        <f t="shared" si="50"/>
        <v>0.20234815487730803</v>
      </c>
      <c r="AA65" s="139" t="s">
        <v>87</v>
      </c>
    </row>
    <row r="66" spans="3:27">
      <c r="O66" s="16" t="s">
        <v>102</v>
      </c>
      <c r="P66" s="16"/>
      <c r="Q66" s="18">
        <f t="shared" ref="Q66:Z66" si="51">Q11/Q6</f>
        <v>0.38499372261500037</v>
      </c>
      <c r="R66" s="18">
        <f t="shared" si="51"/>
        <v>0.34561546670014431</v>
      </c>
      <c r="S66" s="18">
        <f t="shared" si="51"/>
        <v>0.78786274808666679</v>
      </c>
      <c r="T66" s="18">
        <f t="shared" si="51"/>
        <v>0.68476477696486626</v>
      </c>
      <c r="U66" s="18">
        <f t="shared" si="51"/>
        <v>0.56483693774975252</v>
      </c>
      <c r="V66" s="18">
        <f t="shared" si="51"/>
        <v>0.11776145705560957</v>
      </c>
      <c r="W66" s="18">
        <f t="shared" si="51"/>
        <v>0</v>
      </c>
      <c r="X66" s="18">
        <f t="shared" si="51"/>
        <v>0</v>
      </c>
      <c r="Y66" s="18">
        <f t="shared" si="51"/>
        <v>0.16003516984309796</v>
      </c>
      <c r="Z66" s="18">
        <f t="shared" si="51"/>
        <v>1.4692950488396923</v>
      </c>
      <c r="AA66" s="13" t="s">
        <v>87</v>
      </c>
    </row>
    <row r="67" spans="3:27">
      <c r="O67" s="16" t="s">
        <v>90</v>
      </c>
      <c r="P67" s="16"/>
      <c r="Q67" s="18">
        <f t="shared" ref="Q67:Z67" si="52">(Q11-SUM(Q31:Q32))/Q6</f>
        <v>0.26431709592938568</v>
      </c>
      <c r="R67" s="18">
        <f t="shared" si="52"/>
        <v>0.2611213689223455</v>
      </c>
      <c r="S67" s="18">
        <f t="shared" si="52"/>
        <v>0.7097895218168464</v>
      </c>
      <c r="T67" s="18">
        <f t="shared" si="52"/>
        <v>0.55597674603806635</v>
      </c>
      <c r="U67" s="18">
        <f t="shared" si="52"/>
        <v>0.52069818945412349</v>
      </c>
      <c r="V67" s="18">
        <f t="shared" si="52"/>
        <v>7.2349096067109195E-2</v>
      </c>
      <c r="W67" s="18">
        <f t="shared" si="52"/>
        <v>-0.17303378135321623</v>
      </c>
      <c r="X67" s="18">
        <f t="shared" si="52"/>
        <v>-0.10214986819027561</v>
      </c>
      <c r="Y67" s="18">
        <f t="shared" si="52"/>
        <v>4.535083156864933E-2</v>
      </c>
      <c r="Z67" s="18">
        <f t="shared" si="52"/>
        <v>1.2744315613489834</v>
      </c>
      <c r="AA67" s="13" t="s">
        <v>87</v>
      </c>
    </row>
    <row r="68" spans="3:27">
      <c r="O68" s="16" t="s">
        <v>91</v>
      </c>
      <c r="P68" s="16"/>
      <c r="Q68" s="20">
        <f t="shared" ref="Q68:Z68" si="53">AVERAGE(P30:Q30/C4)*365</f>
        <v>9.9638621850223199</v>
      </c>
      <c r="R68" s="20">
        <f t="shared" si="53"/>
        <v>13.676794580868577</v>
      </c>
      <c r="S68" s="20">
        <f t="shared" si="53"/>
        <v>17.665460668775697</v>
      </c>
      <c r="T68" s="20">
        <f t="shared" si="53"/>
        <v>7.7445129512910933</v>
      </c>
      <c r="U68" s="20">
        <f t="shared" si="53"/>
        <v>9.9547012766434335</v>
      </c>
      <c r="V68" s="20">
        <f t="shared" si="53"/>
        <v>12.421366240601783</v>
      </c>
      <c r="W68" s="20">
        <f t="shared" si="53"/>
        <v>2.6371852808263396</v>
      </c>
      <c r="X68" s="20">
        <f t="shared" si="53"/>
        <v>4.4703010889473003</v>
      </c>
      <c r="Y68" s="20">
        <f t="shared" si="53"/>
        <v>9.3093043497667782</v>
      </c>
      <c r="Z68" s="20">
        <f t="shared" si="53"/>
        <v>31.578131875388237</v>
      </c>
      <c r="AA68" s="20" t="s">
        <v>87</v>
      </c>
    </row>
    <row r="69" spans="3:27">
      <c r="G69" s="17"/>
      <c r="H69" s="17"/>
      <c r="O69" s="16" t="s">
        <v>92</v>
      </c>
      <c r="P69" s="3"/>
      <c r="Q69" s="20">
        <f t="shared" ref="Q69:V69" si="54">(AVERAGE(P40:Q40)/C9)*365</f>
        <v>3.680672110068083</v>
      </c>
      <c r="R69" s="20">
        <f t="shared" si="54"/>
        <v>4.3672941112068679</v>
      </c>
      <c r="S69" s="20">
        <f t="shared" si="54"/>
        <v>3.6607999490384477</v>
      </c>
      <c r="T69" s="20">
        <f t="shared" si="54"/>
        <v>17.874100925642296</v>
      </c>
      <c r="U69" s="20">
        <f t="shared" si="54"/>
        <v>78.668228778621156</v>
      </c>
      <c r="V69" s="20">
        <f t="shared" si="54"/>
        <v>50.320906645438328</v>
      </c>
      <c r="W69" s="20">
        <f>(AVERAGE(V40:W40)/(I10+I11+I12)*365)</f>
        <v>25.692349526965732</v>
      </c>
      <c r="X69" s="20">
        <f>(AVERAGE(W39:X39)/(J10+J11+J12)*365)</f>
        <v>20.74328429011576</v>
      </c>
      <c r="Y69" s="20">
        <f>(AVERAGE(X39:Y39)/(K10+K11+K12)*365)</f>
        <v>113.91137136193335</v>
      </c>
      <c r="Z69" s="20">
        <f>(AVERAGE(Y39:Z39)/(L10+L11+L12)*365)</f>
        <v>278.19396255464216</v>
      </c>
      <c r="AA69" s="20" t="s">
        <v>87</v>
      </c>
    </row>
    <row r="70" spans="3:27">
      <c r="O70" s="16" t="s">
        <v>93</v>
      </c>
      <c r="P70" s="3"/>
      <c r="Q70" s="20">
        <f t="shared" ref="Q70:V70" si="55">(AVERAGE(P27:Q27)/C9)*365</f>
        <v>58.916176814051411</v>
      </c>
      <c r="R70" s="20">
        <f t="shared" si="55"/>
        <v>62.322949122426387</v>
      </c>
      <c r="S70" s="20">
        <f t="shared" si="55"/>
        <v>55.952925782472185</v>
      </c>
      <c r="T70" s="20">
        <f t="shared" si="55"/>
        <v>82.116114715299545</v>
      </c>
      <c r="U70" s="20">
        <f t="shared" si="55"/>
        <v>150.36347758611237</v>
      </c>
      <c r="V70" s="20">
        <f t="shared" si="55"/>
        <v>93.421352397047187</v>
      </c>
      <c r="W70" s="20">
        <f>(AVERAGE(V27:W27)/(I10+I11+I12)*365)</f>
        <v>147.51590589302575</v>
      </c>
      <c r="X70" s="20">
        <f>(AVERAGE(W27:X27)/(J10+J11+J12)*365)</f>
        <v>22.122282917809244</v>
      </c>
      <c r="Y70" s="20">
        <f>(AVERAGE(X27:Y27)/(K10+K11+K12)*365)</f>
        <v>150.29318537081608</v>
      </c>
      <c r="Z70" s="20">
        <f>(AVERAGE(Y27:Z27)/(L10+L11+L12)*365)</f>
        <v>310.31171473345614</v>
      </c>
      <c r="AA70" s="20" t="s">
        <v>87</v>
      </c>
    </row>
    <row r="71" spans="3:27" ht="14.7" hidden="1" customHeight="1">
      <c r="C71" s="17"/>
      <c r="D71" s="17"/>
      <c r="E71" s="17"/>
      <c r="F71" s="17"/>
      <c r="G71" s="17"/>
      <c r="H71" s="17"/>
      <c r="I71" s="17"/>
      <c r="O71" s="16" t="s">
        <v>94</v>
      </c>
      <c r="P71" s="3"/>
      <c r="Q71" s="20">
        <f>Q68+Q70-Q69</f>
        <v>65.199366889005645</v>
      </c>
      <c r="R71" s="20">
        <f>R68+R70-R69</f>
        <v>71.632449592088093</v>
      </c>
      <c r="S71" s="20">
        <f t="shared" ref="S71:U71" si="56">S68+S70-S69</f>
        <v>69.957586502209438</v>
      </c>
      <c r="T71" s="20">
        <f t="shared" si="56"/>
        <v>71.986526740948349</v>
      </c>
      <c r="U71" s="20">
        <f t="shared" si="56"/>
        <v>81.649950084134659</v>
      </c>
      <c r="V71" s="20">
        <f t="shared" ref="V71:Z71" si="57">V68+V70-V69</f>
        <v>55.521811992210644</v>
      </c>
      <c r="W71" s="20">
        <f t="shared" si="57"/>
        <v>124.46074164688636</v>
      </c>
      <c r="X71" s="20">
        <f t="shared" si="57"/>
        <v>5.8492997166407861</v>
      </c>
      <c r="Y71" s="20">
        <f t="shared" si="57"/>
        <v>45.691118358649518</v>
      </c>
      <c r="Z71" s="20">
        <f t="shared" si="57"/>
        <v>63.695884054202224</v>
      </c>
      <c r="AA71" s="20" t="s">
        <v>87</v>
      </c>
    </row>
    <row r="72" spans="3:27">
      <c r="O72" s="16" t="s">
        <v>103</v>
      </c>
      <c r="P72" s="16"/>
      <c r="Q72" s="23">
        <f t="shared" ref="Q72:Z72" si="58">C4/(AVERAGE(P17:Q17))</f>
        <v>1.3092621699929932</v>
      </c>
      <c r="R72" s="23">
        <f t="shared" si="58"/>
        <v>1.2413245816566221</v>
      </c>
      <c r="S72" s="23">
        <f t="shared" si="58"/>
        <v>1.3512831115339679</v>
      </c>
      <c r="T72" s="23">
        <f t="shared" si="58"/>
        <v>1.0196890151350466</v>
      </c>
      <c r="U72" s="23">
        <f t="shared" si="58"/>
        <v>0.69252687877451669</v>
      </c>
      <c r="V72" s="23">
        <f t="shared" si="58"/>
        <v>1.8356382565763936</v>
      </c>
      <c r="W72" s="23">
        <f t="shared" si="58"/>
        <v>7.7656845568224133</v>
      </c>
      <c r="X72" s="109">
        <f t="shared" si="58"/>
        <v>7.9990805161369414</v>
      </c>
      <c r="Y72" s="109">
        <f t="shared" si="58"/>
        <v>4.8622927337442485</v>
      </c>
      <c r="Z72" s="109">
        <f t="shared" si="58"/>
        <v>2.9503865851629567</v>
      </c>
      <c r="AA72" s="5" t="s">
        <v>87</v>
      </c>
    </row>
    <row r="73" spans="3:27">
      <c r="O73" s="16" t="s">
        <v>104</v>
      </c>
      <c r="P73" s="16"/>
      <c r="Q73" s="21" t="s">
        <v>87</v>
      </c>
      <c r="R73" s="21" t="s">
        <v>87</v>
      </c>
      <c r="S73" s="21" t="s">
        <v>87</v>
      </c>
      <c r="T73" s="21">
        <f t="shared" ref="T73:Z73" si="59">F15/F21</f>
        <v>1.31201331362784</v>
      </c>
      <c r="U73" s="21">
        <f t="shared" si="59"/>
        <v>0.64627694356267484</v>
      </c>
      <c r="V73" s="21">
        <f t="shared" si="59"/>
        <v>8.0224025401305266</v>
      </c>
      <c r="W73" s="21">
        <f t="shared" si="59"/>
        <v>12.458487084870846</v>
      </c>
      <c r="X73" s="21">
        <f t="shared" si="59"/>
        <v>304.79929577464787</v>
      </c>
      <c r="Y73" s="21">
        <f t="shared" si="59"/>
        <v>73.822556943423976</v>
      </c>
      <c r="Z73" s="21">
        <f t="shared" si="59"/>
        <v>12.410631710949129</v>
      </c>
      <c r="AA73" s="5" t="s">
        <v>87</v>
      </c>
    </row>
    <row r="74" spans="3:27">
      <c r="O74" s="16" t="s">
        <v>95</v>
      </c>
      <c r="P74" s="3"/>
      <c r="Q74" s="13">
        <f t="shared" ref="Q74:Z74" si="60">(AVERAGE(P46:Q46)/C4)*365</f>
        <v>53.189660310524367</v>
      </c>
      <c r="R74" s="13">
        <f t="shared" si="60"/>
        <v>58.34724527887839</v>
      </c>
      <c r="S74" s="13">
        <f t="shared" si="60"/>
        <v>68.650137361399828</v>
      </c>
      <c r="T74" s="13">
        <f t="shared" si="60"/>
        <v>98.131545923349449</v>
      </c>
      <c r="U74" s="13">
        <f t="shared" si="60"/>
        <v>143.3004829785479</v>
      </c>
      <c r="V74" s="13">
        <f t="shared" si="60"/>
        <v>78.040834873836445</v>
      </c>
      <c r="W74" s="13">
        <f t="shared" si="60"/>
        <v>35.78823434473852</v>
      </c>
      <c r="X74" s="13">
        <f t="shared" si="60"/>
        <v>17.229483573831534</v>
      </c>
      <c r="Y74" s="13">
        <f t="shared" si="60"/>
        <v>25.306243072139019</v>
      </c>
      <c r="Z74" s="13">
        <f t="shared" si="60"/>
        <v>-15.821699652947212</v>
      </c>
      <c r="AA74" s="13" t="s">
        <v>87</v>
      </c>
    </row>
  </sheetData>
  <mergeCells count="4">
    <mergeCell ref="B1:Y1"/>
    <mergeCell ref="B2:L2"/>
    <mergeCell ref="O56:Z56"/>
    <mergeCell ref="O2:Z2"/>
  </mergeCells>
  <pageMargins left="0.7" right="0.7" top="0.75" bottom="0.75" header="0.3" footer="0.3"/>
  <pageSetup orientation="portrait" r:id="rId1"/>
  <ignoredErrors>
    <ignoredError sqref="T68:X72 T67:W67 X67:Y67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6"/>
  <sheetViews>
    <sheetView workbookViewId="0">
      <selection activeCell="A10" sqref="A10"/>
    </sheetView>
  </sheetViews>
  <sheetFormatPr defaultRowHeight="14.4"/>
  <cols>
    <col min="1" max="1" width="23" bestFit="1" customWidth="1"/>
    <col min="3" max="3" width="34.88671875" bestFit="1" customWidth="1"/>
    <col min="9" max="9" width="15.33203125" customWidth="1"/>
    <col min="10" max="10" width="36.664062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3"/>
  <sheetViews>
    <sheetView workbookViewId="0">
      <selection activeCell="B17" sqref="B17"/>
    </sheetView>
  </sheetViews>
  <sheetFormatPr defaultRowHeight="14.4"/>
  <cols>
    <col min="1" max="1" width="31.44140625" customWidth="1"/>
    <col min="2" max="2" width="41.664062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J24"/>
  <sheetViews>
    <sheetView topLeftCell="A4" workbookViewId="0">
      <selection activeCell="D5" sqref="D5"/>
    </sheetView>
  </sheetViews>
  <sheetFormatPr defaultRowHeight="14.4"/>
  <cols>
    <col min="2" max="2" width="34.6640625" bestFit="1" customWidth="1"/>
    <col min="3" max="5" width="9.6640625" bestFit="1" customWidth="1"/>
    <col min="7" max="7" width="32.44140625" bestFit="1" customWidth="1"/>
    <col min="8" max="10" width="9.664062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3:F17"/>
  <sheetViews>
    <sheetView workbookViewId="0">
      <selection activeCell="G11" sqref="G11"/>
    </sheetView>
  </sheetViews>
  <sheetFormatPr defaultRowHeight="14.4"/>
  <cols>
    <col min="2" max="2" width="34.88671875" bestFit="1" customWidth="1"/>
    <col min="3" max="6" width="9.664062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cp:lastPrinted>2025-05-05T05:49:34Z</cp:lastPrinted>
  <dcterms:created xsi:type="dcterms:W3CDTF">2022-03-25T06:39:15Z</dcterms:created>
  <dcterms:modified xsi:type="dcterms:W3CDTF">2026-08-20T09:49:43Z</dcterms:modified>
</cp:coreProperties>
</file>