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global surfaces\"/>
    </mc:Choice>
  </mc:AlternateContent>
  <xr:revisionPtr revIDLastSave="0" documentId="13_ncr:1_{471FA2C3-9F24-4135-928C-9A05F50037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3" r:id="rId1"/>
    <sheet name="peer sheet" sheetId="2" state="hidden" r:id="rId2"/>
  </sheets>
  <definedNames>
    <definedName name="_xlnm.Print_Area" localSheetId="0">'Summary Sheet'!#REF!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3" l="1"/>
  <c r="P59" i="3"/>
  <c r="H24" i="3"/>
  <c r="H21" i="3"/>
  <c r="H17" i="3"/>
  <c r="H14" i="3"/>
  <c r="H8" i="3"/>
  <c r="H51" i="3" l="1"/>
  <c r="G51" i="3"/>
  <c r="D6" i="3"/>
  <c r="E6" i="3"/>
  <c r="F6" i="3"/>
  <c r="F7" i="3"/>
  <c r="C8" i="3"/>
  <c r="D8" i="3"/>
  <c r="D14" i="3" s="1"/>
  <c r="E8" i="3"/>
  <c r="E14" i="3" s="1"/>
  <c r="F8" i="3"/>
  <c r="F14" i="3" s="1"/>
  <c r="C14" i="3"/>
  <c r="C17" i="3" s="1"/>
  <c r="D34" i="3"/>
  <c r="E34" i="3"/>
  <c r="F34" i="3"/>
  <c r="F35" i="3"/>
  <c r="H28" i="3" l="1"/>
  <c r="H25" i="3"/>
  <c r="H23" i="3"/>
  <c r="C21" i="3"/>
  <c r="D17" i="3"/>
  <c r="D15" i="3"/>
  <c r="D21" i="3"/>
  <c r="F16" i="3"/>
  <c r="F17" i="3"/>
  <c r="F15" i="3"/>
  <c r="F21" i="3"/>
  <c r="E17" i="3"/>
  <c r="E21" i="3"/>
  <c r="E15" i="3"/>
  <c r="C23" i="3" l="1"/>
  <c r="C24" i="3"/>
  <c r="D23" i="3"/>
  <c r="D24" i="3"/>
  <c r="F23" i="3"/>
  <c r="F24" i="3"/>
  <c r="E23" i="3"/>
  <c r="E24" i="3"/>
  <c r="C25" i="3" l="1"/>
  <c r="C28" i="3"/>
  <c r="E25" i="3"/>
  <c r="E28" i="3"/>
  <c r="F28" i="3"/>
  <c r="F25" i="3"/>
  <c r="F26" i="3"/>
  <c r="D25" i="3"/>
  <c r="D28" i="3"/>
  <c r="D29" i="3" s="1"/>
  <c r="E29" i="3" l="1"/>
  <c r="F29" i="3"/>
  <c r="F30" i="3"/>
  <c r="G35" i="3" l="1"/>
  <c r="G34" i="3"/>
  <c r="G6" i="3"/>
  <c r="G8" i="3"/>
  <c r="G14" i="3" s="1"/>
  <c r="G7" i="3"/>
  <c r="K59" i="3"/>
  <c r="L59" i="3"/>
  <c r="M59" i="3"/>
  <c r="N59" i="3"/>
  <c r="N76" i="3"/>
  <c r="O72" i="3"/>
  <c r="O73" i="3" s="1"/>
  <c r="N72" i="3"/>
  <c r="O70" i="3"/>
  <c r="N70" i="3"/>
  <c r="O63" i="3"/>
  <c r="O60" i="3"/>
  <c r="O59" i="3"/>
  <c r="O28" i="3"/>
  <c r="O54" i="3" s="1"/>
  <c r="O15" i="3"/>
  <c r="O7" i="3"/>
  <c r="G53" i="3"/>
  <c r="G45" i="3"/>
  <c r="G46" i="3"/>
  <c r="N42" i="3"/>
  <c r="O71" i="3" s="1"/>
  <c r="O42" i="3"/>
  <c r="G21" i="3" l="1"/>
  <c r="G15" i="3"/>
  <c r="N71" i="3"/>
  <c r="G42" i="3"/>
  <c r="O39" i="3"/>
  <c r="O11" i="3"/>
  <c r="O49" i="3"/>
  <c r="O12" i="3" s="1"/>
  <c r="O68" i="3" l="1"/>
  <c r="O67" i="3"/>
  <c r="G52" i="3"/>
  <c r="G54" i="3" s="1"/>
  <c r="O75" i="3"/>
  <c r="G24" i="3"/>
  <c r="G23" i="3"/>
  <c r="G47" i="3"/>
  <c r="O13" i="3"/>
  <c r="O55" i="3"/>
  <c r="O47" i="3"/>
  <c r="O74" i="3" s="1"/>
  <c r="F51" i="3"/>
  <c r="G25" i="3" l="1"/>
  <c r="G26" i="3"/>
  <c r="G17" i="3"/>
  <c r="G16" i="3"/>
  <c r="K42" i="3"/>
  <c r="L71" i="3" s="1"/>
  <c r="K15" i="3"/>
  <c r="K11" i="3"/>
  <c r="K75" i="3" s="1"/>
  <c r="C53" i="3"/>
  <c r="L15" i="3"/>
  <c r="L11" i="3"/>
  <c r="L75" i="3" s="1"/>
  <c r="D53" i="3"/>
  <c r="D51" i="3"/>
  <c r="D45" i="3"/>
  <c r="D47" i="3" s="1"/>
  <c r="D42" i="3"/>
  <c r="M72" i="3"/>
  <c r="L72" i="3"/>
  <c r="K72" i="3"/>
  <c r="M71" i="3"/>
  <c r="K71" i="3"/>
  <c r="M70" i="3"/>
  <c r="L70" i="3"/>
  <c r="K70" i="3"/>
  <c r="L62" i="3"/>
  <c r="M62" i="3"/>
  <c r="N49" i="3"/>
  <c r="M49" i="3"/>
  <c r="L49" i="3"/>
  <c r="K49" i="3"/>
  <c r="M39" i="3"/>
  <c r="N28" i="3"/>
  <c r="N54" i="3" s="1"/>
  <c r="O77" i="3" s="1"/>
  <c r="M28" i="3"/>
  <c r="M54" i="3" s="1"/>
  <c r="N77" i="3" s="1"/>
  <c r="N15" i="3"/>
  <c r="M15" i="3"/>
  <c r="N11" i="3"/>
  <c r="M11" i="3"/>
  <c r="M75" i="3" s="1"/>
  <c r="L7" i="3"/>
  <c r="L65" i="3" s="1"/>
  <c r="M7" i="3"/>
  <c r="N7" i="3"/>
  <c r="K7" i="3"/>
  <c r="K65" i="3" s="1"/>
  <c r="F53" i="3"/>
  <c r="E45" i="3"/>
  <c r="E47" i="3" s="1"/>
  <c r="F45" i="3"/>
  <c r="N60" i="3" l="1"/>
  <c r="N63" i="3" s="1"/>
  <c r="N65" i="3"/>
  <c r="M60" i="3"/>
  <c r="M63" i="3" s="1"/>
  <c r="M65" i="3"/>
  <c r="K12" i="3"/>
  <c r="K66" i="3" s="1"/>
  <c r="O66" i="3"/>
  <c r="O76" i="3"/>
  <c r="M55" i="3"/>
  <c r="S55" i="3" s="1"/>
  <c r="L12" i="3"/>
  <c r="L66" i="3" s="1"/>
  <c r="N68" i="3"/>
  <c r="M67" i="3"/>
  <c r="L60" i="3"/>
  <c r="L63" i="3" s="1"/>
  <c r="M47" i="3"/>
  <c r="M74" i="3" s="1"/>
  <c r="L68" i="3"/>
  <c r="M13" i="3"/>
  <c r="K67" i="3"/>
  <c r="K68" i="3"/>
  <c r="N75" i="3"/>
  <c r="D52" i="3"/>
  <c r="D54" i="3" s="1"/>
  <c r="C52" i="3"/>
  <c r="F52" i="3"/>
  <c r="F54" i="3" s="1"/>
  <c r="N64" i="3" s="1"/>
  <c r="L67" i="3"/>
  <c r="M73" i="3"/>
  <c r="N12" i="3"/>
  <c r="N66" i="3" s="1"/>
  <c r="M12" i="3"/>
  <c r="N67" i="3"/>
  <c r="L73" i="3"/>
  <c r="K73" i="3"/>
  <c r="F46" i="3"/>
  <c r="F47" i="3" s="1"/>
  <c r="S13" i="3" l="1"/>
  <c r="M66" i="3"/>
  <c r="G28" i="3"/>
  <c r="O65" i="3"/>
  <c r="M76" i="3"/>
  <c r="N39" i="3"/>
  <c r="N73" i="3"/>
  <c r="C46" i="3"/>
  <c r="G29" i="3" l="1"/>
  <c r="G30" i="3"/>
  <c r="N55" i="3"/>
  <c r="T55" i="3" s="1"/>
  <c r="N47" i="3"/>
  <c r="N74" i="3" s="1"/>
  <c r="N13" i="3"/>
  <c r="T13" i="3" s="1"/>
  <c r="C45" i="3"/>
  <c r="C47" i="3" s="1"/>
  <c r="E51" i="3" l="1"/>
  <c r="C51" i="3"/>
  <c r="E53" i="3"/>
  <c r="M68" i="3" s="1"/>
  <c r="K62" i="3"/>
  <c r="L39" i="3"/>
  <c r="L55" i="3" s="1"/>
  <c r="K39" i="3"/>
  <c r="K55" i="3" s="1"/>
  <c r="L28" i="3"/>
  <c r="K28" i="3"/>
  <c r="K54" i="3" s="1"/>
  <c r="E52" i="3"/>
  <c r="L47" i="3" l="1"/>
  <c r="L74" i="3" s="1"/>
  <c r="L54" i="3"/>
  <c r="K47" i="3"/>
  <c r="K74" i="3" s="1"/>
  <c r="E54" i="3"/>
  <c r="M64" i="3" s="1"/>
  <c r="K13" i="3" l="1"/>
  <c r="Q13" i="3" s="1"/>
  <c r="K77" i="3"/>
  <c r="Q55" i="3"/>
  <c r="R55" i="3"/>
  <c r="L13" i="3"/>
  <c r="R13" i="3" s="1"/>
  <c r="M77" i="3"/>
  <c r="L77" i="3"/>
  <c r="F42" i="3"/>
  <c r="E42" i="3"/>
  <c r="C42" i="3"/>
  <c r="C43" i="3" s="1"/>
  <c r="D38" i="3" s="1"/>
  <c r="D43" i="3" s="1"/>
  <c r="E38" i="3" s="1"/>
  <c r="E43" i="3" l="1"/>
  <c r="F38" i="3" s="1"/>
  <c r="F43" i="3" s="1"/>
  <c r="G38" i="3" s="1"/>
  <c r="G43" i="3" l="1"/>
  <c r="F42" i="2" l="1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E25" i="2"/>
  <c r="G45" i="2" l="1"/>
  <c r="E26" i="2"/>
  <c r="D26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38" i="2" s="1"/>
  <c r="D44" i="2"/>
  <c r="E20" i="2"/>
  <c r="E54" i="2" s="1"/>
  <c r="D20" i="2"/>
  <c r="D54" i="2" s="1"/>
  <c r="D46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K64" i="3" l="1"/>
  <c r="K76" i="3"/>
  <c r="L64" i="3" l="1"/>
  <c r="L7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2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PAT AFTER OCI</t>
        </r>
      </text>
    </comment>
  </commentList>
</comments>
</file>

<file path=xl/sharedStrings.xml><?xml version="1.0" encoding="utf-8"?>
<sst xmlns="http://schemas.openxmlformats.org/spreadsheetml/2006/main" count="247" uniqueCount="170">
  <si>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</si>
  <si>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</si>
  <si>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</si>
  <si>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</si>
  <si>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</si>
  <si>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</si>
  <si>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</si>
  <si>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</si>
  <si>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</si>
  <si>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</si>
  <si>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</si>
  <si>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</si>
  <si>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</si>
  <si>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EPS</t>
  </si>
  <si>
    <t>FY21</t>
  </si>
  <si>
    <t>Consolidated Income Statement</t>
  </si>
  <si>
    <t>Share Capital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</si>
  <si>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</si>
  <si>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</si>
  <si>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</si>
  <si>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</si>
  <si>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</si>
  <si>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</si>
  <si>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</si>
  <si>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</si>
  <si>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</si>
  <si>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</si>
  <si>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</si>
  <si>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</si>
  <si>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</si>
  <si>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</si>
  <si>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</si>
  <si>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</si>
  <si>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</si>
  <si>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</si>
  <si>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</si>
  <si>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</si>
  <si>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</si>
  <si>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</si>
  <si>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</si>
  <si>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</si>
  <si>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</si>
  <si>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</si>
  <si>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</si>
  <si>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</si>
  <si>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</si>
  <si>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</si>
  <si>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</si>
  <si>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</si>
  <si>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</si>
  <si>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</si>
  <si>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</si>
  <si>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</si>
  <si>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</si>
  <si>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</si>
  <si>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</si>
  <si>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</si>
  <si>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</si>
  <si>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</si>
  <si>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</si>
  <si>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</si>
  <si>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</si>
  <si>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</si>
  <si>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</si>
  <si>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</si>
  <si>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</si>
  <si>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</si>
  <si>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</si>
  <si>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</si>
  <si>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Capital Work-in-progress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</si>
  <si>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</si>
  <si>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</si>
  <si>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</si>
  <si>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</si>
  <si>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</si>
  <si>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</si>
  <si>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</si>
  <si>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</si>
  <si>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</si>
  <si>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</si>
  <si>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</si>
  <si>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</si>
  <si>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</si>
  <si>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</si>
  <si>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</si>
  <si>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</si>
  <si>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</si>
  <si>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</si>
  <si>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</si>
  <si>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</si>
  <si>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</si>
  <si>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</si>
  <si>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</si>
  <si>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</si>
  <si>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</si>
  <si>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</si>
  <si>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</si>
  <si>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</si>
  <si>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</si>
  <si>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</si>
  <si>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</si>
  <si>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</si>
  <si>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</si>
  <si>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</si>
  <si>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</si>
  <si>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</si>
  <si>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</si>
  <si>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</si>
  <si>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</si>
  <si>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</si>
  <si>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</si>
  <si>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</si>
  <si>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</si>
  <si>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</si>
  <si>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</si>
  <si>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</si>
  <si>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</si>
  <si>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</si>
  <si>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</si>
  <si>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</si>
  <si>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</si>
  <si>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 xml:space="preserve">  (i) Investments</t>
  </si>
  <si>
    <t xml:space="preserve">  (vi) Others</t>
  </si>
  <si>
    <t>NON CURRENT LIABILITIES</t>
  </si>
  <si>
    <t>FY23</t>
  </si>
  <si>
    <t>Market Cap (Rs. Mn)</t>
  </si>
  <si>
    <t>FY24</t>
  </si>
  <si>
    <t>FY25</t>
  </si>
  <si>
    <t>Cost of material consumed</t>
  </si>
  <si>
    <t>Changes in inventories of finished goods and work- in-progress</t>
  </si>
  <si>
    <t>Purchase of stock in trade</t>
  </si>
  <si>
    <t>Employee benefit expense</t>
  </si>
  <si>
    <t>Other expense</t>
  </si>
  <si>
    <t>Other income</t>
  </si>
  <si>
    <t>Depreciation and amortisation expense</t>
  </si>
  <si>
    <t>Finance costs</t>
  </si>
  <si>
    <t>Basic</t>
  </si>
  <si>
    <t>Diluted</t>
  </si>
  <si>
    <t>Reserves and Surplus</t>
  </si>
  <si>
    <t>(iii) Other financial assets</t>
  </si>
  <si>
    <t>Right-of-use assets</t>
  </si>
  <si>
    <t xml:space="preserve">Intangible assets </t>
  </si>
  <si>
    <t>(ii) Loans</t>
  </si>
  <si>
    <t>Income tax assets (net)</t>
  </si>
  <si>
    <t>Deferred tax assets (net)</t>
  </si>
  <si>
    <t>Other non-current assets</t>
  </si>
  <si>
    <t>Financial Liabilities</t>
  </si>
  <si>
    <t xml:space="preserve">(i) Borrowings </t>
  </si>
  <si>
    <t>(ii) Trade payables</t>
  </si>
  <si>
    <t>(iii) Other financial liabilities</t>
  </si>
  <si>
    <t xml:space="preserve">Current tax liabilities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</si>
  <si>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</si>
  <si>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</si>
  <si>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</si>
  <si>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</si>
  <si>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</si>
  <si>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</si>
  <si>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March Year Ended (INR Mn)</t>
  </si>
  <si>
    <t>Global Surfaces Limited</t>
  </si>
  <si>
    <t>Cash Flow Statement (INR Mn)</t>
  </si>
  <si>
    <t>Ratios</t>
  </si>
  <si>
    <t>INR Mn</t>
  </si>
  <si>
    <t>Revenue from Operations</t>
  </si>
  <si>
    <t>TOTAL LIABILITIES &amp; EQUITY</t>
  </si>
  <si>
    <t>NA</t>
  </si>
  <si>
    <t>Total Comprehensive</t>
  </si>
  <si>
    <t>(i) Investments</t>
  </si>
  <si>
    <t>FY26</t>
  </si>
  <si>
    <t>Asset classified as held for sale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</si>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</sst>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0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/>
    <xf numFmtId="0" fontId="7" fillId="5" borderId="1" xfId="0" applyFont="1" applyFill="1" applyBorder="1"/>
    <xf numFmtId="0" fontId="1" fillId="3" borderId="1" xfId="0" applyFont="1" applyFill="1" applyBorder="1"/>
    <xf numFmtId="10" fontId="0" fillId="0" borderId="1" xfId="2" applyNumberFormat="1" applyFont="1" applyBorder="1"/>
    <xf numFmtId="0" fontId="0" fillId="0" borderId="1" xfId="0" applyBorder="1"/>
    <xf numFmtId="0" fontId="0" fillId="5" borderId="1" xfId="0" applyFill="1" applyBorder="1"/>
    <xf numFmtId="2" fontId="0" fillId="0" borderId="1" xfId="0" applyNumberFormat="1" applyBorder="1"/>
    <xf numFmtId="43" fontId="0" fillId="0" borderId="1" xfId="0" applyNumberFormat="1" applyBorder="1"/>
    <xf numFmtId="10" fontId="7" fillId="5" borderId="1" xfId="2" applyNumberFormat="1" applyFont="1" applyFill="1" applyBorder="1"/>
    <xf numFmtId="10" fontId="7" fillId="5" borderId="1" xfId="0" applyNumberFormat="1" applyFont="1" applyFill="1" applyBorder="1"/>
    <xf numFmtId="43" fontId="1" fillId="3" borderId="1" xfId="1" applyFont="1" applyFill="1" applyBorder="1"/>
    <xf numFmtId="43" fontId="7" fillId="5" borderId="1" xfId="1" applyFont="1" applyFill="1" applyBorder="1"/>
    <xf numFmtId="10" fontId="1" fillId="5" borderId="1" xfId="2" applyNumberFormat="1" applyFont="1" applyFill="1" applyBorder="1"/>
    <xf numFmtId="43" fontId="0" fillId="0" borderId="1" xfId="1" applyFont="1" applyBorder="1"/>
    <xf numFmtId="10" fontId="0" fillId="5" borderId="1" xfId="2" applyNumberFormat="1" applyFont="1" applyFill="1" applyBorder="1"/>
    <xf numFmtId="43" fontId="1" fillId="0" borderId="1" xfId="1" applyFont="1" applyBorder="1"/>
    <xf numFmtId="0" fontId="9" fillId="0" borderId="1" xfId="0" applyFont="1" applyBorder="1"/>
    <xf numFmtId="2" fontId="0" fillId="2" borderId="1" xfId="0" applyNumberFormat="1" applyFill="1" applyBorder="1"/>
    <xf numFmtId="0" fontId="0" fillId="0" borderId="1" xfId="0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 indent="2"/>
    </xf>
    <xf numFmtId="0" fontId="1" fillId="0" borderId="7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3" borderId="1" xfId="0" applyFont="1" applyFill="1" applyBorder="1"/>
    <xf numFmtId="0" fontId="1" fillId="2" borderId="1" xfId="0" applyFont="1" applyFill="1" applyBorder="1"/>
    <xf numFmtId="43" fontId="0" fillId="0" borderId="7" xfId="1" applyFont="1" applyBorder="1"/>
    <xf numFmtId="43" fontId="0" fillId="2" borderId="1" xfId="1" applyFont="1" applyFill="1" applyBorder="1"/>
    <xf numFmtId="166" fontId="10" fillId="0" borderId="7" xfId="1" applyNumberFormat="1" applyFont="1" applyBorder="1"/>
    <xf numFmtId="43" fontId="1" fillId="2" borderId="1" xfId="1" applyFont="1" applyFill="1" applyBorder="1"/>
    <xf numFmtId="43" fontId="0" fillId="0" borderId="0" xfId="0" applyNumberFormat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indent="1"/>
    </xf>
    <xf numFmtId="0" fontId="14" fillId="6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0" fontId="14" fillId="6" borderId="1" xfId="0" applyFont="1" applyFill="1" applyBorder="1"/>
    <xf numFmtId="0" fontId="0" fillId="0" borderId="1" xfId="0" applyBorder="1" applyAlignment="1">
      <alignment horizontal="right"/>
    </xf>
    <xf numFmtId="43" fontId="0" fillId="0" borderId="1" xfId="0" applyNumberFormat="1" applyBorder="1" applyAlignment="1">
      <alignment horizontal="right"/>
    </xf>
    <xf numFmtId="43" fontId="0" fillId="0" borderId="1" xfId="1" applyFont="1" applyFill="1" applyBorder="1"/>
    <xf numFmtId="2" fontId="0" fillId="0" borderId="1" xfId="0" applyNumberFormat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10" fontId="0" fillId="0" borderId="1" xfId="2" applyNumberFormat="1" applyFont="1" applyFill="1" applyBorder="1" applyAlignment="1">
      <alignment horizontal="right"/>
    </xf>
    <xf numFmtId="3" fontId="10" fillId="0" borderId="1" xfId="0" applyNumberFormat="1" applyFont="1" applyBorder="1"/>
    <xf numFmtId="0" fontId="1" fillId="0" borderId="8" xfId="0" applyFont="1" applyBorder="1" applyAlignment="1">
      <alignment horizontal="center"/>
    </xf>
    <xf numFmtId="0" fontId="14" fillId="6" borderId="0" xfId="0" applyFont="1" applyFill="1" applyAlignment="1">
      <alignment horizontal="center"/>
    </xf>
    <xf numFmtId="43" fontId="0" fillId="0" borderId="0" xfId="1" applyFont="1" applyFill="1" applyBorder="1"/>
    <xf numFmtId="3" fontId="10" fillId="0" borderId="7" xfId="0" applyNumberFormat="1" applyFont="1" applyBorder="1"/>
    <xf numFmtId="0" fontId="14" fillId="6" borderId="7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43" fontId="1" fillId="0" borderId="0" xfId="1" applyFont="1" applyFill="1" applyBorder="1"/>
    <xf numFmtId="43" fontId="0" fillId="0" borderId="11" xfId="1" applyFont="1" applyFill="1" applyBorder="1"/>
    <xf numFmtId="43" fontId="0" fillId="0" borderId="9" xfId="1" applyFont="1" applyFill="1" applyBorder="1"/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77"/>
  <sheetViews>
    <sheetView tabSelected="1" topLeftCell="F1" zoomScaleNormal="100" workbookViewId="0">
      <selection activeCell="J70" sqref="J70:P70"/>
    </sheetView>
  </sheetViews>
  <sheetFormatPr defaultColWidth="8.88671875" defaultRowHeight="14.4" x14ac:dyDescent="0.3"/>
  <cols>
    <col min="2" max="2" width="61.6640625" bestFit="1" customWidth="1"/>
    <col min="3" max="3" width="12.88671875" customWidth="1"/>
    <col min="4" max="4" width="13" bestFit="1" customWidth="1"/>
    <col min="5" max="5" width="14" bestFit="1" customWidth="1"/>
    <col min="6" max="6" width="13" bestFit="1" customWidth="1"/>
    <col min="7" max="7" width="12.44140625" bestFit="1" customWidth="1"/>
    <col min="8" max="8" width="12.44140625" customWidth="1"/>
    <col min="10" max="10" width="49.6640625" bestFit="1" customWidth="1"/>
    <col min="11" max="15" width="13.109375" bestFit="1" customWidth="1"/>
    <col min="16" max="16" width="12.6640625" customWidth="1"/>
  </cols>
  <sheetData>
    <row r="2" spans="2:20" ht="18" x14ac:dyDescent="0.35">
      <c r="B2" s="94" t="s">
        <v>158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20" x14ac:dyDescent="0.3">
      <c r="B3" s="90" t="s">
        <v>15</v>
      </c>
      <c r="C3" s="91"/>
      <c r="D3" s="91"/>
      <c r="E3" s="91"/>
      <c r="F3" s="91"/>
      <c r="G3" s="91"/>
      <c r="H3" s="81"/>
      <c r="J3" s="92" t="s">
        <v>22</v>
      </c>
      <c r="K3" s="93"/>
      <c r="L3" s="93"/>
      <c r="M3" s="93"/>
      <c r="N3" s="93"/>
      <c r="O3" s="93"/>
    </row>
    <row r="4" spans="2:20" x14ac:dyDescent="0.3">
      <c r="B4" s="71" t="s">
        <v>157</v>
      </c>
      <c r="C4" s="72" t="s">
        <v>72</v>
      </c>
      <c r="D4" s="72" t="s">
        <v>124</v>
      </c>
      <c r="E4" s="72" t="s">
        <v>126</v>
      </c>
      <c r="F4" s="72" t="s">
        <v>127</v>
      </c>
      <c r="G4" s="72" t="s">
        <v>167</v>
      </c>
      <c r="H4" s="85" t="s">
        <v>169</v>
      </c>
      <c r="J4" s="71" t="s">
        <v>157</v>
      </c>
      <c r="K4" s="72" t="s">
        <v>72</v>
      </c>
      <c r="L4" s="72" t="s">
        <v>124</v>
      </c>
      <c r="M4" s="72" t="s">
        <v>126</v>
      </c>
      <c r="N4" s="72" t="s">
        <v>127</v>
      </c>
      <c r="O4" s="72" t="s">
        <v>167</v>
      </c>
    </row>
    <row r="5" spans="2:20" x14ac:dyDescent="0.3">
      <c r="B5" s="38" t="s">
        <v>162</v>
      </c>
      <c r="C5" s="47">
        <v>1903.13</v>
      </c>
      <c r="D5" s="47">
        <v>1780.66</v>
      </c>
      <c r="E5" s="47">
        <v>2252.91</v>
      </c>
      <c r="F5" s="47">
        <v>2076.44</v>
      </c>
      <c r="G5" s="47">
        <v>2332.39</v>
      </c>
      <c r="H5" s="47">
        <v>654.19000000000005</v>
      </c>
      <c r="J5" s="52" t="s">
        <v>16</v>
      </c>
      <c r="K5" s="47">
        <v>338.62</v>
      </c>
      <c r="L5" s="47">
        <v>423.82</v>
      </c>
      <c r="M5" s="47">
        <v>423.82</v>
      </c>
      <c r="N5" s="47">
        <v>423.82</v>
      </c>
      <c r="O5" s="47">
        <v>423.82</v>
      </c>
    </row>
    <row r="6" spans="2:20" x14ac:dyDescent="0.3">
      <c r="B6" s="35" t="s">
        <v>0</v>
      </c>
      <c r="C6" s="45">
        <v>0</v>
      </c>
      <c r="D6" s="42">
        <f>D5/C5-1</f>
        <v>-6.435188347616827E-2</v>
      </c>
      <c r="E6" s="42">
        <f>E5/D5-1</f>
        <v>0.2652106522300719</v>
      </c>
      <c r="F6" s="42">
        <f>F5/E5-1</f>
        <v>-7.8329804563875061E-2</v>
      </c>
      <c r="G6" s="42">
        <f>G5/F5-1</f>
        <v>0.12326385544489593</v>
      </c>
      <c r="H6" s="42"/>
      <c r="J6" s="52" t="s">
        <v>138</v>
      </c>
      <c r="K6" s="47">
        <v>1001.72</v>
      </c>
      <c r="L6" s="47">
        <v>2189.48</v>
      </c>
      <c r="M6" s="47">
        <v>2881.25</v>
      </c>
      <c r="N6" s="47">
        <v>2599.58</v>
      </c>
      <c r="O6" s="47">
        <v>2282</v>
      </c>
    </row>
    <row r="7" spans="2:20" x14ac:dyDescent="0.3">
      <c r="B7" s="35" t="s">
        <v>1</v>
      </c>
      <c r="C7" s="45">
        <v>0</v>
      </c>
      <c r="D7" s="45">
        <v>0</v>
      </c>
      <c r="E7" s="45">
        <v>0</v>
      </c>
      <c r="F7" s="43">
        <f>+((F5/C5)^(1/3)-1)</f>
        <v>2.9477779260870252E-2</v>
      </c>
      <c r="G7" s="43">
        <f>+((G5/D5)^(1/3)-1)</f>
        <v>9.4141244090981235E-2</v>
      </c>
      <c r="H7" s="43"/>
      <c r="J7" s="53" t="s">
        <v>17</v>
      </c>
      <c r="K7" s="44">
        <f>K5+K6+K8</f>
        <v>1340.3400000000001</v>
      </c>
      <c r="L7" s="44">
        <f t="shared" ref="L7:N7" si="0">L5+L6+L8</f>
        <v>2613.3100000000004</v>
      </c>
      <c r="M7" s="44">
        <f t="shared" si="0"/>
        <v>3324.75</v>
      </c>
      <c r="N7" s="44">
        <f t="shared" si="0"/>
        <v>3039.89</v>
      </c>
      <c r="O7" s="44">
        <f>O5+O6+O8</f>
        <v>2708.9300000000003</v>
      </c>
    </row>
    <row r="8" spans="2:20" x14ac:dyDescent="0.3">
      <c r="B8" s="36" t="s">
        <v>2</v>
      </c>
      <c r="C8" s="44">
        <f t="shared" ref="C8:H8" si="1">SUM(C9:C13)</f>
        <v>1485.09</v>
      </c>
      <c r="D8" s="44">
        <f t="shared" si="1"/>
        <v>1425.51</v>
      </c>
      <c r="E8" s="44">
        <f t="shared" si="1"/>
        <v>1903.25</v>
      </c>
      <c r="F8" s="44">
        <f t="shared" si="1"/>
        <v>2057.15</v>
      </c>
      <c r="G8" s="44">
        <f t="shared" si="1"/>
        <v>2445.7600000000002</v>
      </c>
      <c r="H8" s="44">
        <f>SUM(H9:H13)</f>
        <v>570.86</v>
      </c>
      <c r="J8" s="52" t="s">
        <v>11</v>
      </c>
      <c r="K8" s="47">
        <v>0</v>
      </c>
      <c r="L8" s="47">
        <v>0.01</v>
      </c>
      <c r="M8" s="47">
        <v>19.68</v>
      </c>
      <c r="N8" s="47">
        <v>16.489999999999998</v>
      </c>
      <c r="O8" s="47">
        <v>3.11</v>
      </c>
    </row>
    <row r="9" spans="2:20" x14ac:dyDescent="0.3">
      <c r="B9" s="38" t="s">
        <v>128</v>
      </c>
      <c r="C9" s="47">
        <v>986.17</v>
      </c>
      <c r="D9" s="47">
        <v>852.63</v>
      </c>
      <c r="E9" s="47">
        <v>888.06</v>
      </c>
      <c r="F9" s="47">
        <v>1081.3900000000001</v>
      </c>
      <c r="G9" s="47">
        <v>1076.05</v>
      </c>
      <c r="H9" s="47">
        <v>410.97</v>
      </c>
      <c r="J9" s="52" t="s">
        <v>18</v>
      </c>
      <c r="K9" s="47">
        <v>107.93</v>
      </c>
      <c r="L9" s="47">
        <v>193.36</v>
      </c>
      <c r="M9" s="47">
        <v>524.54999999999995</v>
      </c>
      <c r="N9" s="47">
        <v>522.96</v>
      </c>
      <c r="O9" s="47">
        <v>473.47</v>
      </c>
    </row>
    <row r="10" spans="2:20" x14ac:dyDescent="0.3">
      <c r="B10" s="38" t="s">
        <v>130</v>
      </c>
      <c r="C10" s="47">
        <v>0</v>
      </c>
      <c r="D10" s="47">
        <v>0</v>
      </c>
      <c r="E10" s="38">
        <v>492.06</v>
      </c>
      <c r="F10" s="38">
        <v>51.15</v>
      </c>
      <c r="G10" s="38">
        <v>12.95</v>
      </c>
      <c r="H10" s="38">
        <v>10.33</v>
      </c>
      <c r="J10" s="52" t="s">
        <v>19</v>
      </c>
      <c r="K10" s="47">
        <v>264.89</v>
      </c>
      <c r="L10" s="47">
        <v>1014.8</v>
      </c>
      <c r="M10" s="47">
        <v>458.75</v>
      </c>
      <c r="N10" s="47">
        <v>998.02</v>
      </c>
      <c r="O10" s="47">
        <v>1159.57</v>
      </c>
    </row>
    <row r="11" spans="2:20" x14ac:dyDescent="0.3">
      <c r="B11" s="38" t="s">
        <v>129</v>
      </c>
      <c r="C11" s="38">
        <v>-119.32</v>
      </c>
      <c r="D11" s="38">
        <v>-8.27</v>
      </c>
      <c r="E11" s="38">
        <v>-194.35</v>
      </c>
      <c r="F11" s="38">
        <v>-120.92</v>
      </c>
      <c r="G11" s="38">
        <v>64.540000000000006</v>
      </c>
      <c r="H11" s="38">
        <v>-89.59</v>
      </c>
      <c r="J11" s="53" t="s">
        <v>20</v>
      </c>
      <c r="K11" s="44">
        <f>K9+K10</f>
        <v>372.82</v>
      </c>
      <c r="L11" s="44">
        <f>L9+L10</f>
        <v>1208.1599999999999</v>
      </c>
      <c r="M11" s="44">
        <f>M9+M10</f>
        <v>983.3</v>
      </c>
      <c r="N11" s="44">
        <f>N9+N10</f>
        <v>1520.98</v>
      </c>
      <c r="O11" s="44">
        <f>O9+O10</f>
        <v>1633.04</v>
      </c>
    </row>
    <row r="12" spans="2:20" x14ac:dyDescent="0.3">
      <c r="B12" s="38" t="s">
        <v>131</v>
      </c>
      <c r="C12" s="38">
        <v>149.30000000000001</v>
      </c>
      <c r="D12" s="38">
        <v>119.36</v>
      </c>
      <c r="E12" s="38">
        <v>154.06</v>
      </c>
      <c r="F12" s="38">
        <v>289.89</v>
      </c>
      <c r="G12" s="38">
        <v>332.96</v>
      </c>
      <c r="H12" s="38">
        <v>76.25</v>
      </c>
      <c r="J12" s="53" t="s">
        <v>21</v>
      </c>
      <c r="K12" s="44">
        <f>+K7+K49</f>
        <v>1873.6000000000004</v>
      </c>
      <c r="L12" s="44">
        <f>+L7+L49</f>
        <v>3265.55</v>
      </c>
      <c r="M12" s="44">
        <f t="shared" ref="M12:N12" si="2">+M7+M49</f>
        <v>4315.96</v>
      </c>
      <c r="N12" s="44">
        <f t="shared" si="2"/>
        <v>4046.85</v>
      </c>
      <c r="O12" s="44">
        <f>+O7+O49</f>
        <v>3697.1400000000003</v>
      </c>
      <c r="P12" s="68"/>
    </row>
    <row r="13" spans="2:20" x14ac:dyDescent="0.3">
      <c r="B13" s="38" t="s">
        <v>132</v>
      </c>
      <c r="C13" s="38">
        <v>468.94</v>
      </c>
      <c r="D13" s="38">
        <v>461.79</v>
      </c>
      <c r="E13" s="38">
        <v>563.41999999999996</v>
      </c>
      <c r="F13" s="38">
        <v>755.64</v>
      </c>
      <c r="G13" s="38">
        <v>959.26</v>
      </c>
      <c r="H13" s="38">
        <v>162.9</v>
      </c>
      <c r="J13" s="53" t="s">
        <v>21</v>
      </c>
      <c r="K13" s="44">
        <f>+K54-K39</f>
        <v>1873.5999999999997</v>
      </c>
      <c r="L13" s="44">
        <f>+L54-L39</f>
        <v>3265.55</v>
      </c>
      <c r="M13" s="44">
        <f t="shared" ref="M13:N13" si="3">+M54-M39</f>
        <v>4315.96</v>
      </c>
      <c r="N13" s="44">
        <f t="shared" si="3"/>
        <v>4046.8500000000004</v>
      </c>
      <c r="O13" s="44">
        <f t="shared" ref="O13" si="4">+O54-O39</f>
        <v>3697.1399999999994</v>
      </c>
      <c r="Q13" s="68">
        <f>K12-K13</f>
        <v>0</v>
      </c>
      <c r="R13" s="68">
        <f t="shared" ref="R13:T13" si="5">L12-L13</f>
        <v>0</v>
      </c>
      <c r="S13" s="68">
        <f t="shared" si="5"/>
        <v>0</v>
      </c>
      <c r="T13" s="68">
        <f t="shared" si="5"/>
        <v>0</v>
      </c>
    </row>
    <row r="14" spans="2:20" x14ac:dyDescent="0.3">
      <c r="B14" s="36" t="s">
        <v>3</v>
      </c>
      <c r="C14" s="44">
        <f t="shared" ref="C14:H14" si="6">C5-C8</f>
        <v>418.04000000000019</v>
      </c>
      <c r="D14" s="44">
        <f t="shared" si="6"/>
        <v>355.15000000000009</v>
      </c>
      <c r="E14" s="44">
        <f t="shared" si="6"/>
        <v>349.65999999999985</v>
      </c>
      <c r="F14" s="44">
        <f t="shared" si="6"/>
        <v>19.289999999999964</v>
      </c>
      <c r="G14" s="44">
        <f t="shared" si="6"/>
        <v>-113.37000000000035</v>
      </c>
      <c r="H14" s="44">
        <f>H5-H8</f>
        <v>83.330000000000041</v>
      </c>
      <c r="J14" s="38"/>
      <c r="K14" s="38"/>
      <c r="L14" s="38"/>
      <c r="M14" s="38"/>
      <c r="N14" s="38"/>
      <c r="O14" s="38"/>
    </row>
    <row r="15" spans="2:20" x14ac:dyDescent="0.3">
      <c r="B15" s="35" t="s">
        <v>0</v>
      </c>
      <c r="C15" s="45">
        <v>0</v>
      </c>
      <c r="D15" s="42">
        <f>D14/C14-1</f>
        <v>-0.15044014926801275</v>
      </c>
      <c r="E15" s="42">
        <f>E14/D14-1</f>
        <v>-1.5458257074476234E-2</v>
      </c>
      <c r="F15" s="42">
        <f>F14/E14-1</f>
        <v>-0.94483212263341543</v>
      </c>
      <c r="G15" s="42">
        <f>G14/F14-1</f>
        <v>-6.8771384136858762</v>
      </c>
      <c r="H15" s="42"/>
      <c r="J15" s="53" t="s">
        <v>23</v>
      </c>
      <c r="K15" s="44">
        <f>SUM(K16:K26)</f>
        <v>1202.8399999999999</v>
      </c>
      <c r="L15" s="44">
        <f>SUM(L16:L26)</f>
        <v>2464.9500000000003</v>
      </c>
      <c r="M15" s="44">
        <f>SUM(M16:M26)</f>
        <v>3216.38</v>
      </c>
      <c r="N15" s="44">
        <f>SUM(N16:N26)</f>
        <v>3154.7700000000004</v>
      </c>
      <c r="O15" s="44">
        <f>SUM(O16:O26)</f>
        <v>3197.9900000000002</v>
      </c>
    </row>
    <row r="16" spans="2:20" x14ac:dyDescent="0.3">
      <c r="B16" s="35" t="s">
        <v>1</v>
      </c>
      <c r="C16" s="45">
        <v>0</v>
      </c>
      <c r="D16" s="45">
        <v>0</v>
      </c>
      <c r="E16" s="45">
        <v>0</v>
      </c>
      <c r="F16" s="43">
        <f>+((F14/C14)^(1/3)-1)</f>
        <v>-0.64132195314044771</v>
      </c>
      <c r="G16" s="43">
        <f>+((G14/D14)^(1/3)-1)</f>
        <v>-1.6834322090566789</v>
      </c>
      <c r="H16" s="43"/>
      <c r="J16" s="52" t="s">
        <v>24</v>
      </c>
      <c r="K16" s="47">
        <v>385.12</v>
      </c>
      <c r="L16" s="47">
        <v>382.5</v>
      </c>
      <c r="M16" s="47">
        <v>2443.3200000000002</v>
      </c>
      <c r="N16" s="47">
        <v>2375.0700000000002</v>
      </c>
      <c r="O16" s="47">
        <v>2460.1799999999998</v>
      </c>
    </row>
    <row r="17" spans="2:19" x14ac:dyDescent="0.3">
      <c r="B17" s="54" t="s">
        <v>4</v>
      </c>
      <c r="C17" s="46">
        <f t="shared" ref="C17:H17" si="7">C14/C5</f>
        <v>0.2196591930136145</v>
      </c>
      <c r="D17" s="46">
        <f t="shared" si="7"/>
        <v>0.19944851908842792</v>
      </c>
      <c r="E17" s="46">
        <f t="shared" si="7"/>
        <v>0.15520371430727364</v>
      </c>
      <c r="F17" s="46">
        <f t="shared" si="7"/>
        <v>9.2899385486698207E-3</v>
      </c>
      <c r="G17" s="46">
        <f t="shared" si="7"/>
        <v>-4.8606793889529772E-2</v>
      </c>
      <c r="H17" s="46">
        <f>H14/H5</f>
        <v>0.12737889603937699</v>
      </c>
      <c r="J17" s="52" t="s">
        <v>69</v>
      </c>
      <c r="K17" s="47">
        <v>70.75</v>
      </c>
      <c r="L17" s="47">
        <v>1236.83</v>
      </c>
      <c r="M17" s="47">
        <v>1.18</v>
      </c>
      <c r="N17" s="47">
        <v>0</v>
      </c>
      <c r="O17" s="47">
        <v>0</v>
      </c>
    </row>
    <row r="18" spans="2:19" x14ac:dyDescent="0.3">
      <c r="B18" s="38" t="s">
        <v>133</v>
      </c>
      <c r="C18" s="38">
        <v>80.44</v>
      </c>
      <c r="D18" s="38">
        <v>27.76</v>
      </c>
      <c r="E18" s="38">
        <v>37.17</v>
      </c>
      <c r="F18" s="38">
        <v>72.38</v>
      </c>
      <c r="G18" s="38">
        <v>216.98</v>
      </c>
      <c r="H18" s="38">
        <v>1.92</v>
      </c>
      <c r="J18" s="52" t="s">
        <v>140</v>
      </c>
      <c r="K18" s="47">
        <v>496.48</v>
      </c>
      <c r="L18" s="47">
        <v>505.25</v>
      </c>
      <c r="M18" s="47">
        <v>496.42</v>
      </c>
      <c r="N18" s="47">
        <v>485.57</v>
      </c>
      <c r="O18" s="47">
        <v>495.08</v>
      </c>
    </row>
    <row r="19" spans="2:19" x14ac:dyDescent="0.3">
      <c r="B19" s="38" t="s">
        <v>134</v>
      </c>
      <c r="C19" s="38">
        <v>107.79</v>
      </c>
      <c r="D19" s="38">
        <v>94.31</v>
      </c>
      <c r="E19" s="38">
        <v>89.28</v>
      </c>
      <c r="F19" s="38">
        <v>186.56</v>
      </c>
      <c r="G19" s="38">
        <v>183.68</v>
      </c>
      <c r="H19" s="38">
        <v>44.98</v>
      </c>
      <c r="J19" s="52" t="s">
        <v>141</v>
      </c>
      <c r="K19" s="47">
        <v>0.41</v>
      </c>
      <c r="L19" s="47">
        <v>0.25</v>
      </c>
      <c r="M19" s="47">
        <v>2.57</v>
      </c>
      <c r="N19" s="47">
        <v>1.93</v>
      </c>
      <c r="O19" s="47">
        <v>1.1299999999999999</v>
      </c>
    </row>
    <row r="20" spans="2:19" x14ac:dyDescent="0.3">
      <c r="B20" s="38" t="s">
        <v>135</v>
      </c>
      <c r="C20" s="38">
        <v>29.63</v>
      </c>
      <c r="D20" s="69">
        <v>35.69</v>
      </c>
      <c r="E20" s="38">
        <v>45.03</v>
      </c>
      <c r="F20" s="38">
        <v>154.38999999999999</v>
      </c>
      <c r="G20" s="38">
        <v>149.94999999999999</v>
      </c>
      <c r="H20" s="38">
        <v>35.43</v>
      </c>
      <c r="J20" s="70" t="s">
        <v>25</v>
      </c>
      <c r="K20" s="47"/>
      <c r="L20" s="47"/>
      <c r="M20" s="47"/>
      <c r="N20" s="47"/>
      <c r="O20" s="47"/>
    </row>
    <row r="21" spans="2:19" x14ac:dyDescent="0.3">
      <c r="B21" s="36" t="s">
        <v>6</v>
      </c>
      <c r="C21" s="44">
        <f t="shared" ref="C21:H21" si="8">C14+C18-C19-C20</f>
        <v>361.06000000000017</v>
      </c>
      <c r="D21" s="44">
        <f t="shared" si="8"/>
        <v>252.91000000000008</v>
      </c>
      <c r="E21" s="44">
        <f t="shared" si="8"/>
        <v>252.51999999999984</v>
      </c>
      <c r="F21" s="44">
        <f t="shared" si="8"/>
        <v>-249.28000000000003</v>
      </c>
      <c r="G21" s="44">
        <f t="shared" si="8"/>
        <v>-230.02000000000035</v>
      </c>
      <c r="H21" s="44">
        <f>H14+H18-H19-H20</f>
        <v>4.840000000000046</v>
      </c>
      <c r="J21" s="52" t="s">
        <v>166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34"/>
    </row>
    <row r="22" spans="2:19" x14ac:dyDescent="0.3">
      <c r="B22" s="38" t="s">
        <v>7</v>
      </c>
      <c r="C22" s="47">
        <v>4.72</v>
      </c>
      <c r="D22" s="47">
        <v>10.57</v>
      </c>
      <c r="E22" s="47">
        <v>54.71</v>
      </c>
      <c r="F22" s="47">
        <v>39.72</v>
      </c>
      <c r="G22" s="47">
        <v>88.37</v>
      </c>
      <c r="H22" s="47">
        <v>4.2</v>
      </c>
      <c r="J22" s="52" t="s">
        <v>142</v>
      </c>
      <c r="K22" s="47">
        <v>19.93</v>
      </c>
      <c r="L22" s="47">
        <v>0.3</v>
      </c>
      <c r="M22" s="47">
        <v>0.27</v>
      </c>
      <c r="N22" s="47">
        <v>0.06</v>
      </c>
      <c r="O22" s="47">
        <v>0</v>
      </c>
    </row>
    <row r="23" spans="2:19" x14ac:dyDescent="0.3">
      <c r="B23" s="35" t="s">
        <v>8</v>
      </c>
      <c r="C23" s="48">
        <f>C22/C21</f>
        <v>1.3072619509222836E-2</v>
      </c>
      <c r="D23" s="48">
        <f>D22/D21</f>
        <v>4.1793523387766388E-2</v>
      </c>
      <c r="E23" s="48">
        <f>E22/E21</f>
        <v>0.21665610644701425</v>
      </c>
      <c r="F23" s="48">
        <f>-F22/F21</f>
        <v>0.15933889602053913</v>
      </c>
      <c r="G23" s="48">
        <f>-G22/G21</f>
        <v>0.38418398400139064</v>
      </c>
      <c r="H23" s="48">
        <f>H22/H21</f>
        <v>0.86776859504131409</v>
      </c>
      <c r="J23" s="52" t="s">
        <v>139</v>
      </c>
      <c r="K23" s="47">
        <v>18.43</v>
      </c>
      <c r="L23" s="47">
        <v>22.88</v>
      </c>
      <c r="M23" s="47">
        <v>26.75</v>
      </c>
      <c r="N23" s="47">
        <v>31.19</v>
      </c>
      <c r="O23" s="47">
        <v>38.67</v>
      </c>
      <c r="Q23" s="34"/>
      <c r="R23" s="34"/>
      <c r="S23" s="34"/>
    </row>
    <row r="24" spans="2:19" x14ac:dyDescent="0.3">
      <c r="B24" s="36" t="s">
        <v>9</v>
      </c>
      <c r="C24" s="44">
        <f>C21-C22</f>
        <v>356.34000000000015</v>
      </c>
      <c r="D24" s="44">
        <f>D21-D22</f>
        <v>242.34000000000009</v>
      </c>
      <c r="E24" s="44">
        <f t="shared" ref="E24:F24" si="9">E21-E22</f>
        <v>197.80999999999983</v>
      </c>
      <c r="F24" s="44">
        <f t="shared" si="9"/>
        <v>-289</v>
      </c>
      <c r="G24" s="44">
        <f>G21-G22</f>
        <v>-318.39000000000033</v>
      </c>
      <c r="H24" s="44">
        <f>H21-H22</f>
        <v>0.64000000000004587</v>
      </c>
      <c r="J24" s="52" t="s">
        <v>143</v>
      </c>
      <c r="K24" s="47">
        <v>1.45</v>
      </c>
      <c r="L24" s="47">
        <v>20.32</v>
      </c>
      <c r="M24" s="47">
        <v>28.87</v>
      </c>
      <c r="N24" s="47">
        <v>44.94</v>
      </c>
      <c r="O24" s="47">
        <v>39.08</v>
      </c>
    </row>
    <row r="25" spans="2:19" x14ac:dyDescent="0.3">
      <c r="B25" s="54" t="s">
        <v>10</v>
      </c>
      <c r="C25" s="46">
        <f t="shared" ref="C25:H25" si="10">C24/C5</f>
        <v>0.18723891694209019</v>
      </c>
      <c r="D25" s="46">
        <f t="shared" si="10"/>
        <v>0.13609560500039317</v>
      </c>
      <c r="E25" s="46">
        <f t="shared" si="10"/>
        <v>8.780199830441511E-2</v>
      </c>
      <c r="F25" s="46">
        <f t="shared" si="10"/>
        <v>-0.13918052050625107</v>
      </c>
      <c r="G25" s="46">
        <f t="shared" si="10"/>
        <v>-0.13650804539549574</v>
      </c>
      <c r="H25" s="46">
        <f t="shared" si="10"/>
        <v>9.7830905394464271E-4</v>
      </c>
      <c r="J25" s="52" t="s">
        <v>144</v>
      </c>
      <c r="K25" s="47">
        <v>180.35</v>
      </c>
      <c r="L25" s="47">
        <v>216.7</v>
      </c>
      <c r="M25" s="47">
        <v>213.72</v>
      </c>
      <c r="N25" s="47">
        <v>198.94</v>
      </c>
      <c r="O25" s="47">
        <v>140.74</v>
      </c>
    </row>
    <row r="26" spans="2:19" x14ac:dyDescent="0.3">
      <c r="B26" s="35" t="s">
        <v>1</v>
      </c>
      <c r="C26" s="45">
        <v>0</v>
      </c>
      <c r="D26" s="45">
        <v>0</v>
      </c>
      <c r="E26" s="45">
        <v>0</v>
      </c>
      <c r="F26" s="43">
        <f>+((F24/C24)^(1/3)-1)</f>
        <v>-1.9325620876834657</v>
      </c>
      <c r="G26" s="43">
        <f>+((G24/D24)^(1/3)-1)</f>
        <v>-2.0952454016035693</v>
      </c>
      <c r="H26" s="43"/>
      <c r="J26" s="52" t="s">
        <v>145</v>
      </c>
      <c r="K26" s="47">
        <v>29.92</v>
      </c>
      <c r="L26" s="47">
        <v>79.92</v>
      </c>
      <c r="M26" s="47">
        <v>3.28</v>
      </c>
      <c r="N26" s="47">
        <v>17.07</v>
      </c>
      <c r="O26" s="47">
        <v>23.11</v>
      </c>
    </row>
    <row r="27" spans="2:19" x14ac:dyDescent="0.3">
      <c r="B27" s="38" t="s">
        <v>12</v>
      </c>
      <c r="C27" s="38">
        <v>0.92</v>
      </c>
      <c r="D27" s="38">
        <v>14.79</v>
      </c>
      <c r="E27" s="38">
        <v>6.11</v>
      </c>
      <c r="F27" s="38">
        <v>4.16</v>
      </c>
      <c r="G27" s="38">
        <v>-9.8800000000000008</v>
      </c>
      <c r="H27" s="38">
        <v>-0.32</v>
      </c>
      <c r="J27" s="38"/>
      <c r="K27" s="38"/>
      <c r="L27" s="38"/>
      <c r="M27" s="38"/>
      <c r="N27" s="38"/>
      <c r="O27" s="38"/>
    </row>
    <row r="28" spans="2:19" x14ac:dyDescent="0.3">
      <c r="B28" s="36" t="s">
        <v>165</v>
      </c>
      <c r="C28" s="44">
        <f t="shared" ref="C28:H28" si="11">C24+C27</f>
        <v>357.26000000000016</v>
      </c>
      <c r="D28" s="44">
        <f t="shared" si="11"/>
        <v>257.13000000000011</v>
      </c>
      <c r="E28" s="44">
        <f t="shared" si="11"/>
        <v>203.91999999999985</v>
      </c>
      <c r="F28" s="44">
        <f t="shared" si="11"/>
        <v>-284.83999999999997</v>
      </c>
      <c r="G28" s="44">
        <f t="shared" si="11"/>
        <v>-328.27000000000032</v>
      </c>
      <c r="H28" s="44">
        <f t="shared" si="11"/>
        <v>0.32000000000004586</v>
      </c>
      <c r="J28" s="53" t="s">
        <v>26</v>
      </c>
      <c r="K28" s="44">
        <f>SUM(K29:K37)</f>
        <v>1161.98</v>
      </c>
      <c r="L28" s="44">
        <f t="shared" ref="L28" si="12">SUM(L29:L37)</f>
        <v>2155.6400000000003</v>
      </c>
      <c r="M28" s="44">
        <f>SUM(M29:M37)</f>
        <v>2001.5499999999997</v>
      </c>
      <c r="N28" s="44">
        <f>SUM(N29:N37)</f>
        <v>2420.6099999999997</v>
      </c>
      <c r="O28" s="44">
        <f>SUM(O29:O37)</f>
        <v>2166</v>
      </c>
    </row>
    <row r="29" spans="2:19" x14ac:dyDescent="0.3">
      <c r="B29" s="35" t="s">
        <v>0</v>
      </c>
      <c r="C29" s="45">
        <v>0</v>
      </c>
      <c r="D29" s="42">
        <f>D28/C28-1</f>
        <v>-0.28027207076079053</v>
      </c>
      <c r="E29" s="42">
        <f>E28/D28-1</f>
        <v>-0.20693812468401296</v>
      </c>
      <c r="F29" s="42">
        <f>F28/E28-1</f>
        <v>-2.3968222832483335</v>
      </c>
      <c r="G29" s="42">
        <f>-(G28/F28)-1</f>
        <v>-2.1524715629827282</v>
      </c>
      <c r="H29" s="42"/>
      <c r="J29" s="52" t="s">
        <v>27</v>
      </c>
      <c r="K29" s="47">
        <v>469.14</v>
      </c>
      <c r="L29" s="47">
        <v>439.58</v>
      </c>
      <c r="M29" s="47">
        <v>767.55</v>
      </c>
      <c r="N29" s="47">
        <v>947.55</v>
      </c>
      <c r="O29" s="47">
        <v>874.09</v>
      </c>
    </row>
    <row r="30" spans="2:19" x14ac:dyDescent="0.3">
      <c r="B30" s="35" t="s">
        <v>1</v>
      </c>
      <c r="C30" s="45">
        <v>0</v>
      </c>
      <c r="D30" s="45">
        <v>0</v>
      </c>
      <c r="E30" s="45">
        <v>0</v>
      </c>
      <c r="F30" s="43">
        <f>+((F28/C28)^(1/3)-1)</f>
        <v>-1.9272685448548788</v>
      </c>
      <c r="G30" s="43">
        <f>+((G28/D28)^(1/3)-1)</f>
        <v>-2.0848244922782468</v>
      </c>
      <c r="H30" s="43"/>
      <c r="J30" s="70" t="s">
        <v>25</v>
      </c>
      <c r="K30" s="47"/>
      <c r="L30" s="47"/>
      <c r="M30" s="47"/>
      <c r="N30" s="47"/>
      <c r="O30" s="47"/>
    </row>
    <row r="31" spans="2:19" x14ac:dyDescent="0.3">
      <c r="B31" s="55" t="s">
        <v>13</v>
      </c>
      <c r="C31" s="49"/>
      <c r="D31" s="49"/>
      <c r="E31" s="49"/>
      <c r="F31" s="49"/>
      <c r="G31" s="49"/>
      <c r="H31" s="49"/>
      <c r="J31" s="52" t="s">
        <v>121</v>
      </c>
      <c r="K31" s="47">
        <v>106.63</v>
      </c>
      <c r="L31" s="47">
        <v>57.19</v>
      </c>
      <c r="M31" s="47">
        <v>1.54</v>
      </c>
      <c r="N31" s="47">
        <v>1.71</v>
      </c>
      <c r="O31" s="47">
        <v>0</v>
      </c>
    </row>
    <row r="32" spans="2:19" x14ac:dyDescent="0.3">
      <c r="B32" s="38" t="s">
        <v>136</v>
      </c>
      <c r="C32" s="47">
        <v>10.52</v>
      </c>
      <c r="D32" s="47">
        <v>7.1</v>
      </c>
      <c r="E32" s="47">
        <v>4.41</v>
      </c>
      <c r="F32" s="47">
        <v>-6.73</v>
      </c>
      <c r="G32" s="47">
        <v>-7.18</v>
      </c>
      <c r="H32" s="47">
        <v>0.04</v>
      </c>
      <c r="J32" s="56" t="s">
        <v>28</v>
      </c>
      <c r="K32" s="47">
        <v>389.78</v>
      </c>
      <c r="L32" s="47">
        <v>439.96</v>
      </c>
      <c r="M32" s="47">
        <v>1098.55</v>
      </c>
      <c r="N32" s="47">
        <v>1276.9000000000001</v>
      </c>
      <c r="O32" s="47">
        <v>964.17</v>
      </c>
    </row>
    <row r="33" spans="2:19" x14ac:dyDescent="0.3">
      <c r="B33" s="38" t="s">
        <v>137</v>
      </c>
      <c r="C33" s="47">
        <v>10.52</v>
      </c>
      <c r="D33" s="47">
        <v>7.1</v>
      </c>
      <c r="E33" s="47">
        <v>4.41</v>
      </c>
      <c r="F33" s="47">
        <v>-6.73</v>
      </c>
      <c r="G33" s="47">
        <v>-7.18</v>
      </c>
      <c r="H33" s="47">
        <v>0.04</v>
      </c>
      <c r="J33" s="56" t="s">
        <v>29</v>
      </c>
      <c r="K33" s="47">
        <v>20.34</v>
      </c>
      <c r="L33" s="47">
        <v>65.02</v>
      </c>
      <c r="M33" s="47">
        <v>25.87</v>
      </c>
      <c r="N33" s="47">
        <v>27.77</v>
      </c>
      <c r="O33" s="47">
        <v>37.79</v>
      </c>
    </row>
    <row r="34" spans="2:19" x14ac:dyDescent="0.3">
      <c r="B34" s="39" t="s">
        <v>0</v>
      </c>
      <c r="C34" s="45">
        <v>0</v>
      </c>
      <c r="D34" s="42">
        <f>D33/C33-1</f>
        <v>-0.32509505703422059</v>
      </c>
      <c r="E34" s="42">
        <f>E33/D33-1</f>
        <v>-0.37887323943661966</v>
      </c>
      <c r="F34" s="42">
        <f>F33/E33-1</f>
        <v>-2.5260770975056692</v>
      </c>
      <c r="G34" s="42">
        <f>-(G33/F33-1)</f>
        <v>-6.6864784546805334E-2</v>
      </c>
      <c r="H34" s="42"/>
      <c r="J34" s="56" t="s">
        <v>30</v>
      </c>
      <c r="K34" s="47">
        <v>5.93</v>
      </c>
      <c r="L34" s="47">
        <v>1070.8</v>
      </c>
      <c r="M34" s="47">
        <v>28.52</v>
      </c>
      <c r="N34" s="47">
        <v>44.13</v>
      </c>
      <c r="O34" s="47">
        <v>67.900000000000006</v>
      </c>
    </row>
    <row r="35" spans="2:19" x14ac:dyDescent="0.3">
      <c r="B35" s="39" t="s">
        <v>1</v>
      </c>
      <c r="C35" s="45">
        <v>0</v>
      </c>
      <c r="D35" s="45">
        <v>0</v>
      </c>
      <c r="E35" s="45">
        <v>0</v>
      </c>
      <c r="F35" s="43">
        <f>+((F33/C33)^(1/3)-1)</f>
        <v>-1.861654396181317</v>
      </c>
      <c r="G35" s="43">
        <f>+((G33/D33)^(1/3)-1)</f>
        <v>-2.0037418496420973</v>
      </c>
      <c r="H35" s="43"/>
      <c r="J35" s="56" t="s">
        <v>31</v>
      </c>
      <c r="K35" s="47">
        <v>92.31</v>
      </c>
      <c r="L35" s="47">
        <v>18.88</v>
      </c>
      <c r="M35" s="47">
        <v>1.1499999999999999</v>
      </c>
      <c r="N35" s="47">
        <v>7.62</v>
      </c>
      <c r="O35" s="47">
        <v>3.2</v>
      </c>
    </row>
    <row r="36" spans="2:19" x14ac:dyDescent="0.3">
      <c r="J36" s="52" t="s">
        <v>122</v>
      </c>
      <c r="K36" s="47">
        <v>6.39</v>
      </c>
      <c r="L36" s="47">
        <v>20.420000000000002</v>
      </c>
      <c r="M36" s="47">
        <v>18.11</v>
      </c>
      <c r="N36" s="47">
        <v>7.7</v>
      </c>
      <c r="O36" s="47">
        <v>11.37</v>
      </c>
    </row>
    <row r="37" spans="2:19" x14ac:dyDescent="0.3">
      <c r="B37" s="73" t="s">
        <v>159</v>
      </c>
      <c r="C37" s="72" t="s">
        <v>72</v>
      </c>
      <c r="D37" s="72" t="s">
        <v>124</v>
      </c>
      <c r="E37" s="72" t="s">
        <v>126</v>
      </c>
      <c r="F37" s="72" t="s">
        <v>127</v>
      </c>
      <c r="G37" s="72" t="s">
        <v>167</v>
      </c>
      <c r="H37" s="86"/>
      <c r="J37" s="52" t="s">
        <v>32</v>
      </c>
      <c r="K37" s="47">
        <v>71.459999999999994</v>
      </c>
      <c r="L37" s="47">
        <v>43.79</v>
      </c>
      <c r="M37" s="47">
        <v>60.26</v>
      </c>
      <c r="N37" s="47">
        <v>107.23</v>
      </c>
      <c r="O37" s="47">
        <v>207.48</v>
      </c>
    </row>
    <row r="38" spans="2:19" x14ac:dyDescent="0.3">
      <c r="B38" s="57" t="s">
        <v>55</v>
      </c>
      <c r="C38" s="64">
        <v>54.44</v>
      </c>
      <c r="D38" s="64">
        <f>C43</f>
        <v>20.339999999999968</v>
      </c>
      <c r="E38" s="64">
        <f>D43</f>
        <v>65.019999999999811</v>
      </c>
      <c r="F38" s="64">
        <f>E43</f>
        <v>25.879999999999825</v>
      </c>
      <c r="G38" s="64">
        <f>F43</f>
        <v>27.779999999999802</v>
      </c>
      <c r="H38" s="83"/>
      <c r="J38" s="38" t="s">
        <v>168</v>
      </c>
      <c r="K38" s="38">
        <v>0</v>
      </c>
      <c r="L38" s="38">
        <v>0</v>
      </c>
      <c r="M38" s="38">
        <v>0</v>
      </c>
      <c r="N38" s="38">
        <v>0</v>
      </c>
      <c r="O38" s="38">
        <v>42.91</v>
      </c>
      <c r="P38" s="34"/>
    </row>
    <row r="39" spans="2:19" x14ac:dyDescent="0.3">
      <c r="B39" s="38" t="s">
        <v>56</v>
      </c>
      <c r="C39" s="47">
        <v>281.89999999999998</v>
      </c>
      <c r="D39" s="47">
        <v>270.26</v>
      </c>
      <c r="E39" s="47">
        <v>-372.52</v>
      </c>
      <c r="F39" s="47">
        <v>-312.25</v>
      </c>
      <c r="G39" s="47">
        <v>274.72000000000003</v>
      </c>
      <c r="H39" s="83"/>
      <c r="J39" s="53" t="s">
        <v>33</v>
      </c>
      <c r="K39" s="44">
        <f>SUM(K40:K46)</f>
        <v>491.22000000000008</v>
      </c>
      <c r="L39" s="44">
        <f t="shared" ref="L39" si="13">SUM(L40:L46)</f>
        <v>1355.04</v>
      </c>
      <c r="M39" s="44">
        <f>SUM(M40:M46)</f>
        <v>901.96999999999991</v>
      </c>
      <c r="N39" s="44">
        <f>SUM(N40:N46)</f>
        <v>1528.5299999999997</v>
      </c>
      <c r="O39" s="44">
        <f>SUM(O40:O46)</f>
        <v>1709.76</v>
      </c>
    </row>
    <row r="40" spans="2:19" x14ac:dyDescent="0.3">
      <c r="B40" s="38" t="s">
        <v>57</v>
      </c>
      <c r="C40" s="47">
        <v>-281.37</v>
      </c>
      <c r="D40" s="47">
        <v>-2052.5700000000002</v>
      </c>
      <c r="E40" s="47">
        <v>90.27</v>
      </c>
      <c r="F40" s="47">
        <v>-59.92</v>
      </c>
      <c r="G40" s="47">
        <v>-104.3</v>
      </c>
      <c r="H40" s="83"/>
      <c r="J40" s="70" t="s">
        <v>146</v>
      </c>
      <c r="K40" s="47"/>
      <c r="L40" s="47"/>
      <c r="M40" s="47"/>
      <c r="N40" s="47"/>
      <c r="O40" s="47"/>
      <c r="Q40" s="34"/>
      <c r="R40" s="34"/>
      <c r="S40" s="34"/>
    </row>
    <row r="41" spans="2:19" x14ac:dyDescent="0.3">
      <c r="B41" s="38" t="s">
        <v>58</v>
      </c>
      <c r="C41" s="47">
        <v>-34.630000000000003</v>
      </c>
      <c r="D41" s="47">
        <v>1826.99</v>
      </c>
      <c r="E41" s="47">
        <v>243.11</v>
      </c>
      <c r="F41" s="47">
        <v>374.07</v>
      </c>
      <c r="G41" s="47">
        <v>-160.4</v>
      </c>
      <c r="H41" s="83"/>
      <c r="J41" s="52" t="s">
        <v>147</v>
      </c>
      <c r="K41" s="47">
        <v>264.89</v>
      </c>
      <c r="L41" s="47">
        <v>1014.8</v>
      </c>
      <c r="M41" s="47">
        <v>458.75</v>
      </c>
      <c r="N41" s="47">
        <v>998.02</v>
      </c>
      <c r="O41" s="47">
        <v>1159.57</v>
      </c>
    </row>
    <row r="42" spans="2:19" x14ac:dyDescent="0.3">
      <c r="B42" s="63" t="s">
        <v>59</v>
      </c>
      <c r="C42" s="67">
        <f>C39+C40+C41</f>
        <v>-34.10000000000003</v>
      </c>
      <c r="D42" s="67">
        <f>D39+D40+D41</f>
        <v>44.679999999999836</v>
      </c>
      <c r="E42" s="67">
        <f t="shared" ref="E42:F42" si="14">E39+E40+E41</f>
        <v>-39.139999999999986</v>
      </c>
      <c r="F42" s="67">
        <f t="shared" si="14"/>
        <v>1.8999999999999773</v>
      </c>
      <c r="G42" s="67">
        <f>G39+G40+G41</f>
        <v>10.02000000000001</v>
      </c>
      <c r="H42" s="87"/>
      <c r="J42" s="52" t="s">
        <v>148</v>
      </c>
      <c r="K42" s="47">
        <f>105.77+81.72</f>
        <v>187.49</v>
      </c>
      <c r="L42" s="47">
        <v>161.9</v>
      </c>
      <c r="M42" s="47">
        <v>386.62</v>
      </c>
      <c r="N42" s="47">
        <f>56.36+400.72</f>
        <v>457.08000000000004</v>
      </c>
      <c r="O42" s="47">
        <f>30.29+386.93</f>
        <v>417.22</v>
      </c>
    </row>
    <row r="43" spans="2:19" x14ac:dyDescent="0.3">
      <c r="B43" s="36" t="s">
        <v>60</v>
      </c>
      <c r="C43" s="44">
        <f>C38+C42</f>
        <v>20.339999999999968</v>
      </c>
      <c r="D43" s="44">
        <f>D38+D42</f>
        <v>65.019999999999811</v>
      </c>
      <c r="E43" s="44">
        <f>E38+E42</f>
        <v>25.879999999999825</v>
      </c>
      <c r="F43" s="44">
        <f>F38+F42</f>
        <v>27.779999999999802</v>
      </c>
      <c r="G43" s="44">
        <f>G38+G42</f>
        <v>37.799999999999812</v>
      </c>
      <c r="H43" s="87"/>
      <c r="J43" s="52" t="s">
        <v>149</v>
      </c>
      <c r="K43" s="47">
        <v>16.16</v>
      </c>
      <c r="L43" s="47">
        <v>149.80000000000001</v>
      </c>
      <c r="M43" s="47">
        <v>37.53</v>
      </c>
      <c r="N43" s="47">
        <v>35.06</v>
      </c>
      <c r="O43" s="47">
        <v>53.29</v>
      </c>
    </row>
    <row r="44" spans="2:19" x14ac:dyDescent="0.3">
      <c r="B44" s="73" t="s">
        <v>156</v>
      </c>
      <c r="C44" s="72" t="s">
        <v>72</v>
      </c>
      <c r="D44" s="72" t="s">
        <v>124</v>
      </c>
      <c r="E44" s="72" t="s">
        <v>126</v>
      </c>
      <c r="F44" s="72" t="s">
        <v>127</v>
      </c>
      <c r="G44" s="72" t="s">
        <v>167</v>
      </c>
      <c r="H44" s="86"/>
      <c r="J44" s="52" t="s">
        <v>150</v>
      </c>
      <c r="K44" s="47">
        <v>10.16</v>
      </c>
      <c r="L44" s="47">
        <v>1.03</v>
      </c>
      <c r="M44" s="47">
        <v>6.48</v>
      </c>
      <c r="N44" s="47">
        <v>4.0599999999999996</v>
      </c>
      <c r="O44" s="47">
        <v>22.69</v>
      </c>
    </row>
    <row r="45" spans="2:19" x14ac:dyDescent="0.3">
      <c r="B45" s="50" t="s">
        <v>61</v>
      </c>
      <c r="C45" s="47">
        <f>C39</f>
        <v>281.89999999999998</v>
      </c>
      <c r="D45" s="47">
        <f>D39</f>
        <v>270.26</v>
      </c>
      <c r="E45" s="47">
        <f>E39</f>
        <v>-372.52</v>
      </c>
      <c r="F45" s="41">
        <f>F39</f>
        <v>-312.25</v>
      </c>
      <c r="G45" s="41">
        <f>G39</f>
        <v>274.72000000000003</v>
      </c>
      <c r="H45" s="68"/>
      <c r="J45" s="52" t="s">
        <v>70</v>
      </c>
      <c r="K45" s="47">
        <v>0.42</v>
      </c>
      <c r="L45" s="47">
        <v>1.47</v>
      </c>
      <c r="M45" s="47">
        <v>0.8</v>
      </c>
      <c r="N45" s="47">
        <v>3.46</v>
      </c>
      <c r="O45" s="47">
        <v>4.41</v>
      </c>
      <c r="P45" s="34"/>
    </row>
    <row r="46" spans="2:19" x14ac:dyDescent="0.3">
      <c r="B46" s="50" t="s">
        <v>62</v>
      </c>
      <c r="C46" s="47">
        <f>-121.07+22.78</f>
        <v>-98.289999999999992</v>
      </c>
      <c r="D46" s="47">
        <v>-1144.45</v>
      </c>
      <c r="E46" s="47">
        <v>-1035.22</v>
      </c>
      <c r="F46" s="38">
        <f>-46.74+8.55</f>
        <v>-38.19</v>
      </c>
      <c r="G46" s="38">
        <f>-90.15+3.21</f>
        <v>-86.940000000000012</v>
      </c>
      <c r="J46" s="52" t="s">
        <v>151</v>
      </c>
      <c r="K46" s="47">
        <v>12.1</v>
      </c>
      <c r="L46" s="47">
        <v>26.04</v>
      </c>
      <c r="M46" s="47">
        <v>11.79</v>
      </c>
      <c r="N46" s="47">
        <v>30.85</v>
      </c>
      <c r="O46" s="47">
        <v>52.58</v>
      </c>
    </row>
    <row r="47" spans="2:19" x14ac:dyDescent="0.3">
      <c r="B47" s="62" t="s">
        <v>155</v>
      </c>
      <c r="C47" s="44">
        <f>C45+C46</f>
        <v>183.60999999999999</v>
      </c>
      <c r="D47" s="44">
        <f t="shared" ref="D47:F47" si="15">D45+D46</f>
        <v>-874.19</v>
      </c>
      <c r="E47" s="44">
        <f t="shared" si="15"/>
        <v>-1407.74</v>
      </c>
      <c r="F47" s="44">
        <f t="shared" si="15"/>
        <v>-350.44</v>
      </c>
      <c r="G47" s="44">
        <f t="shared" ref="G47" si="16">G45+G46</f>
        <v>187.78000000000003</v>
      </c>
      <c r="H47" s="87"/>
      <c r="J47" s="53" t="s">
        <v>34</v>
      </c>
      <c r="K47" s="44">
        <f>K28-K39</f>
        <v>670.76</v>
      </c>
      <c r="L47" s="44">
        <f>L28-L39</f>
        <v>800.60000000000036</v>
      </c>
      <c r="M47" s="44">
        <f>M28-M39</f>
        <v>1099.58</v>
      </c>
      <c r="N47" s="44">
        <f>N28-N39</f>
        <v>892.07999999999993</v>
      </c>
      <c r="O47" s="44">
        <f>O28-O39</f>
        <v>456.24</v>
      </c>
      <c r="Q47" s="34"/>
      <c r="R47" s="34"/>
      <c r="S47" s="34"/>
    </row>
    <row r="48" spans="2:19" x14ac:dyDescent="0.3">
      <c r="J48" s="38"/>
      <c r="K48" s="38"/>
      <c r="L48" s="38"/>
      <c r="M48" s="38"/>
      <c r="N48" s="38"/>
      <c r="O48" s="38"/>
    </row>
    <row r="49" spans="2:20" x14ac:dyDescent="0.3">
      <c r="B49" s="73" t="s">
        <v>161</v>
      </c>
      <c r="C49" s="72" t="s">
        <v>72</v>
      </c>
      <c r="D49" s="72" t="s">
        <v>124</v>
      </c>
      <c r="E49" s="72" t="s">
        <v>126</v>
      </c>
      <c r="F49" s="72" t="s">
        <v>127</v>
      </c>
      <c r="G49" s="72" t="s">
        <v>167</v>
      </c>
      <c r="H49" s="82" t="s">
        <v>169</v>
      </c>
      <c r="J49" s="53" t="s">
        <v>123</v>
      </c>
      <c r="K49" s="44">
        <f>SUM(K51:K53)</f>
        <v>533.2600000000001</v>
      </c>
      <c r="L49" s="44">
        <f>SUM(L51:L53)</f>
        <v>652.24</v>
      </c>
      <c r="M49" s="44">
        <f>SUM(M51:M53)</f>
        <v>991.20999999999992</v>
      </c>
      <c r="N49" s="44">
        <f>SUM(N51:N53)</f>
        <v>1006.9599999999999</v>
      </c>
      <c r="O49" s="44">
        <f>SUM(O51:O53)</f>
        <v>988.21</v>
      </c>
    </row>
    <row r="50" spans="2:20" x14ac:dyDescent="0.3">
      <c r="B50" s="28" t="s">
        <v>64</v>
      </c>
      <c r="C50" s="64">
        <v>0</v>
      </c>
      <c r="D50" s="66">
        <v>42381818</v>
      </c>
      <c r="E50" s="66">
        <v>42381818</v>
      </c>
      <c r="F50" s="80">
        <v>42381818</v>
      </c>
      <c r="G50" s="80">
        <v>42381818</v>
      </c>
      <c r="H50" s="84">
        <v>42381818</v>
      </c>
      <c r="J50" s="70" t="s">
        <v>152</v>
      </c>
      <c r="K50" s="47"/>
      <c r="L50" s="47"/>
      <c r="M50" s="47"/>
      <c r="N50" s="47"/>
      <c r="O50" s="47"/>
    </row>
    <row r="51" spans="2:20" x14ac:dyDescent="0.3">
      <c r="B51" s="58" t="s">
        <v>125</v>
      </c>
      <c r="C51" s="65">
        <f t="shared" ref="C51:H51" si="17">C50*K58/1000000</f>
        <v>0</v>
      </c>
      <c r="D51" s="65">
        <f t="shared" si="17"/>
        <v>6969.6899700999993</v>
      </c>
      <c r="E51" s="65">
        <f t="shared" si="17"/>
        <v>9766.8899581000005</v>
      </c>
      <c r="F51" s="65">
        <f t="shared" si="17"/>
        <v>4569.1837985800003</v>
      </c>
      <c r="G51" s="76">
        <f t="shared" si="17"/>
        <v>1941.0872643999999</v>
      </c>
      <c r="H51" s="76">
        <f t="shared" si="17"/>
        <v>1780.0363560000001</v>
      </c>
      <c r="J51" s="52" t="s">
        <v>153</v>
      </c>
      <c r="K51" s="47">
        <v>107.93</v>
      </c>
      <c r="L51" s="47">
        <v>193.36</v>
      </c>
      <c r="M51" s="47">
        <v>524.54999999999995</v>
      </c>
      <c r="N51" s="47">
        <v>522.96</v>
      </c>
      <c r="O51" s="47">
        <v>473.47</v>
      </c>
    </row>
    <row r="52" spans="2:20" x14ac:dyDescent="0.3">
      <c r="B52" s="38" t="s">
        <v>66</v>
      </c>
      <c r="C52" s="47">
        <f>K11</f>
        <v>372.82</v>
      </c>
      <c r="D52" s="47">
        <f>L11</f>
        <v>1208.1599999999999</v>
      </c>
      <c r="E52" s="47">
        <f>M11</f>
        <v>983.3</v>
      </c>
      <c r="F52" s="47">
        <f>N11</f>
        <v>1520.98</v>
      </c>
      <c r="G52" s="76">
        <f>O11</f>
        <v>1633.04</v>
      </c>
      <c r="H52" s="88">
        <v>1633.04</v>
      </c>
      <c r="J52" s="52" t="s">
        <v>154</v>
      </c>
      <c r="K52" s="47">
        <v>421.5</v>
      </c>
      <c r="L52" s="47">
        <v>453.82</v>
      </c>
      <c r="M52" s="47">
        <v>463</v>
      </c>
      <c r="N52" s="47">
        <v>473.57</v>
      </c>
      <c r="O52" s="47">
        <v>504.47</v>
      </c>
    </row>
    <row r="53" spans="2:20" x14ac:dyDescent="0.3">
      <c r="B53" s="38" t="s">
        <v>67</v>
      </c>
      <c r="C53" s="47">
        <f>SUM(K33:K34)</f>
        <v>26.27</v>
      </c>
      <c r="D53" s="47">
        <f>SUM(L33:L34)</f>
        <v>1135.82</v>
      </c>
      <c r="E53" s="47">
        <f>SUM(M33:M34)</f>
        <v>54.39</v>
      </c>
      <c r="F53" s="47">
        <f>SUM(N33:N34)</f>
        <v>71.900000000000006</v>
      </c>
      <c r="G53" s="76">
        <f>SUM(O33:O34)</f>
        <v>105.69</v>
      </c>
      <c r="H53" s="89">
        <v>105.69</v>
      </c>
      <c r="J53" s="52" t="s">
        <v>70</v>
      </c>
      <c r="K53" s="47">
        <v>3.83</v>
      </c>
      <c r="L53" s="47">
        <v>5.0599999999999996</v>
      </c>
      <c r="M53" s="47">
        <v>3.66</v>
      </c>
      <c r="N53" s="47">
        <v>10.43</v>
      </c>
      <c r="O53" s="47">
        <v>10.27</v>
      </c>
    </row>
    <row r="54" spans="2:20" x14ac:dyDescent="0.3">
      <c r="B54" s="58" t="s">
        <v>68</v>
      </c>
      <c r="C54" s="47">
        <v>0</v>
      </c>
      <c r="D54" s="47">
        <f>D51+D52-D53</f>
        <v>7042.0299700999994</v>
      </c>
      <c r="E54" s="47">
        <f t="shared" ref="E54" si="18">E51+E52-E53</f>
        <v>10695.7999581</v>
      </c>
      <c r="F54" s="47">
        <f>F51+F52-F53</f>
        <v>6018.2637985800011</v>
      </c>
      <c r="G54" s="76">
        <f>G51+G52-G53</f>
        <v>3468.4372644</v>
      </c>
      <c r="H54" s="76">
        <f>H51+H52-H53</f>
        <v>3307.386356</v>
      </c>
      <c r="J54" s="53" t="s">
        <v>35</v>
      </c>
      <c r="K54" s="44">
        <f>K28+K15+K38</f>
        <v>2364.8199999999997</v>
      </c>
      <c r="L54" s="44">
        <f>L28+L15+L38</f>
        <v>4620.59</v>
      </c>
      <c r="M54" s="44">
        <f>M28+M15+M38</f>
        <v>5217.93</v>
      </c>
      <c r="N54" s="44">
        <f>N28+N15+N38</f>
        <v>5575.38</v>
      </c>
      <c r="O54" s="44">
        <f>O28+O15+O38</f>
        <v>5406.9</v>
      </c>
    </row>
    <row r="55" spans="2:20" x14ac:dyDescent="0.3">
      <c r="J55" s="53" t="s">
        <v>163</v>
      </c>
      <c r="K55" s="44">
        <f>K39+K49+K7</f>
        <v>2364.8200000000006</v>
      </c>
      <c r="L55" s="44">
        <f t="shared" ref="L55:N55" si="19">L39+L49+L7</f>
        <v>4620.59</v>
      </c>
      <c r="M55" s="44">
        <f t="shared" si="19"/>
        <v>5217.93</v>
      </c>
      <c r="N55" s="44">
        <f t="shared" si="19"/>
        <v>5575.3799999999992</v>
      </c>
      <c r="O55" s="44">
        <f t="shared" ref="O55" si="20">O39+O49+O7</f>
        <v>5406.9000000000005</v>
      </c>
      <c r="Q55" s="68">
        <f>K54-K55</f>
        <v>0</v>
      </c>
      <c r="R55" s="68">
        <f t="shared" ref="R55:T55" si="21">L54-L55</f>
        <v>0</v>
      </c>
      <c r="S55" s="68">
        <f t="shared" si="21"/>
        <v>0</v>
      </c>
      <c r="T55" s="68">
        <f t="shared" si="21"/>
        <v>0</v>
      </c>
    </row>
    <row r="57" spans="2:20" x14ac:dyDescent="0.3">
      <c r="J57" s="71" t="s">
        <v>160</v>
      </c>
      <c r="K57" s="72" t="s">
        <v>72</v>
      </c>
      <c r="L57" s="72" t="s">
        <v>124</v>
      </c>
      <c r="M57" s="72" t="s">
        <v>126</v>
      </c>
      <c r="N57" s="72" t="s">
        <v>127</v>
      </c>
      <c r="O57" s="72" t="s">
        <v>167</v>
      </c>
      <c r="P57" s="72" t="s">
        <v>169</v>
      </c>
    </row>
    <row r="58" spans="2:20" x14ac:dyDescent="0.3">
      <c r="J58" s="59" t="s">
        <v>36</v>
      </c>
      <c r="K58" s="47">
        <v>0</v>
      </c>
      <c r="L58" s="38">
        <v>164.45</v>
      </c>
      <c r="M58" s="38">
        <v>230.45</v>
      </c>
      <c r="N58" s="38">
        <v>107.81</v>
      </c>
      <c r="O58" s="74">
        <v>45.8</v>
      </c>
      <c r="P58" s="74">
        <v>42</v>
      </c>
    </row>
    <row r="59" spans="2:20" x14ac:dyDescent="0.3">
      <c r="J59" s="59" t="s">
        <v>37</v>
      </c>
      <c r="K59" s="75">
        <f>C33</f>
        <v>10.52</v>
      </c>
      <c r="L59" s="75">
        <f>D33</f>
        <v>7.1</v>
      </c>
      <c r="M59" s="75">
        <f>E33</f>
        <v>4.41</v>
      </c>
      <c r="N59" s="75">
        <f>F33</f>
        <v>-6.73</v>
      </c>
      <c r="O59" s="75">
        <f>G33</f>
        <v>-7.18</v>
      </c>
      <c r="P59" s="41">
        <f>H33+G33-0.1</f>
        <v>-7.2399999999999993</v>
      </c>
    </row>
    <row r="60" spans="2:20" x14ac:dyDescent="0.3">
      <c r="J60" s="59" t="s">
        <v>38</v>
      </c>
      <c r="K60" s="65">
        <v>0</v>
      </c>
      <c r="L60" s="51">
        <f>L7*1000000/D50</f>
        <v>61.661111375637553</v>
      </c>
      <c r="M60" s="51">
        <f>M7*1000000/E50</f>
        <v>78.447555034095046</v>
      </c>
      <c r="N60" s="51">
        <f>N7*1000000/F50</f>
        <v>71.726276583982312</v>
      </c>
      <c r="O60" s="77">
        <f>O7*1000000/G50</f>
        <v>63.917267541472633</v>
      </c>
      <c r="P60" t="s">
        <v>164</v>
      </c>
      <c r="Q60" s="34"/>
      <c r="R60" s="34"/>
      <c r="S60" s="34"/>
    </row>
    <row r="61" spans="2:20" x14ac:dyDescent="0.3">
      <c r="J61" s="59" t="s">
        <v>39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t="s">
        <v>164</v>
      </c>
    </row>
    <row r="62" spans="2:20" x14ac:dyDescent="0.3">
      <c r="J62" s="59" t="s">
        <v>40</v>
      </c>
      <c r="K62" s="41">
        <f>K58/K59</f>
        <v>0</v>
      </c>
      <c r="L62" s="41">
        <f>L58/L59</f>
        <v>23.161971830985916</v>
      </c>
      <c r="M62" s="41">
        <f>M58/M59</f>
        <v>52.256235827664398</v>
      </c>
      <c r="N62" s="41" t="s">
        <v>164</v>
      </c>
      <c r="O62" s="75" t="s">
        <v>164</v>
      </c>
      <c r="P62" t="s">
        <v>164</v>
      </c>
    </row>
    <row r="63" spans="2:20" x14ac:dyDescent="0.3">
      <c r="J63" s="59" t="s">
        <v>41</v>
      </c>
      <c r="K63" s="47">
        <v>0</v>
      </c>
      <c r="L63" s="47">
        <f>L58/L60</f>
        <v>2.666997015317738</v>
      </c>
      <c r="M63" s="47">
        <f>M58/M60</f>
        <v>2.937631388254756</v>
      </c>
      <c r="N63" s="47">
        <f>N58/N60</f>
        <v>1.5030753739707687</v>
      </c>
      <c r="O63" s="78">
        <f>O58/O60</f>
        <v>0.71655128201909957</v>
      </c>
      <c r="P63" t="s">
        <v>164</v>
      </c>
    </row>
    <row r="64" spans="2:20" x14ac:dyDescent="0.3">
      <c r="J64" s="59" t="s">
        <v>42</v>
      </c>
      <c r="K64" s="41">
        <f>C54/C14</f>
        <v>0</v>
      </c>
      <c r="L64" s="41">
        <f>D54/D14</f>
        <v>19.82832597522173</v>
      </c>
      <c r="M64" s="41">
        <f>E54/E14</f>
        <v>30.589143619802108</v>
      </c>
      <c r="N64" s="41">
        <f>F54/F14</f>
        <v>311.98879204665695</v>
      </c>
      <c r="O64" s="75" t="s">
        <v>164</v>
      </c>
      <c r="P64" t="s">
        <v>164</v>
      </c>
    </row>
    <row r="65" spans="10:16" x14ac:dyDescent="0.3">
      <c r="J65" s="60" t="s">
        <v>43</v>
      </c>
      <c r="K65" s="79">
        <f>C24/K7</f>
        <v>0.26585791664801478</v>
      </c>
      <c r="L65" s="79">
        <f>D24/L7</f>
        <v>9.2732970830096711E-2</v>
      </c>
      <c r="M65" s="79">
        <f>E24/M7</f>
        <v>5.9496202722009124E-2</v>
      </c>
      <c r="N65" s="79">
        <f>F24/N7</f>
        <v>-9.5069229478698253E-2</v>
      </c>
      <c r="O65" s="79">
        <f>G24/O7</f>
        <v>-0.11753349108319532</v>
      </c>
      <c r="P65" t="s">
        <v>164</v>
      </c>
    </row>
    <row r="66" spans="10:16" x14ac:dyDescent="0.3">
      <c r="J66" s="60" t="s">
        <v>44</v>
      </c>
      <c r="K66" s="79">
        <f>(C21+C20)/K12</f>
        <v>0.20852369769427845</v>
      </c>
      <c r="L66" s="79">
        <f>(D21+D20)/L12</f>
        <v>8.8377149331659313E-2</v>
      </c>
      <c r="M66" s="79">
        <f>(E21+E20)/M12</f>
        <v>6.8941788153736333E-2</v>
      </c>
      <c r="N66" s="79">
        <f>(F21+F20)/N12</f>
        <v>-2.344786685940918E-2</v>
      </c>
      <c r="O66" s="79">
        <f>(G21+G20)/O12</f>
        <v>-2.1657281033447572E-2</v>
      </c>
      <c r="P66" t="s">
        <v>164</v>
      </c>
    </row>
    <row r="67" spans="10:16" x14ac:dyDescent="0.3">
      <c r="J67" s="59" t="s">
        <v>45</v>
      </c>
      <c r="K67" s="40">
        <f>K11/K7</f>
        <v>0.27815330438545438</v>
      </c>
      <c r="L67" s="40">
        <f t="shared" ref="L67:N67" si="22">L11/L7</f>
        <v>0.46231025021907068</v>
      </c>
      <c r="M67" s="40">
        <f t="shared" si="22"/>
        <v>0.29575156026768928</v>
      </c>
      <c r="N67" s="40">
        <f t="shared" si="22"/>
        <v>0.50034047284605698</v>
      </c>
      <c r="O67" s="77">
        <f>O11/O7</f>
        <v>0.60283580601935072</v>
      </c>
      <c r="P67" t="s">
        <v>164</v>
      </c>
    </row>
    <row r="68" spans="10:16" x14ac:dyDescent="0.3">
      <c r="J68" s="59" t="s">
        <v>46</v>
      </c>
      <c r="K68" s="40">
        <f>(K11-C53)/K7</f>
        <v>0.25855379978214482</v>
      </c>
      <c r="L68" s="40">
        <f>(L11-D53)/L7</f>
        <v>2.7681369604065306E-2</v>
      </c>
      <c r="M68" s="40">
        <f>(M11-E53)/M7</f>
        <v>0.27939243552146775</v>
      </c>
      <c r="N68" s="40">
        <f>(N11-F53)/N7</f>
        <v>0.47668830122142575</v>
      </c>
      <c r="O68" s="77">
        <f>(O11-G53)/O7</f>
        <v>0.56382040141310397</v>
      </c>
      <c r="P68" t="s">
        <v>164</v>
      </c>
    </row>
    <row r="69" spans="10:16" x14ac:dyDescent="0.3">
      <c r="J69" s="59" t="s">
        <v>47</v>
      </c>
      <c r="K69" s="47">
        <v>0</v>
      </c>
      <c r="L69" s="47">
        <v>0</v>
      </c>
      <c r="M69" s="47">
        <v>0</v>
      </c>
      <c r="N69" s="47">
        <v>0</v>
      </c>
      <c r="O69" s="78" t="s">
        <v>164</v>
      </c>
      <c r="P69" t="s">
        <v>164</v>
      </c>
    </row>
    <row r="70" spans="10:16" x14ac:dyDescent="0.3">
      <c r="J70" s="59" t="s">
        <v>48</v>
      </c>
      <c r="K70" s="40">
        <f>AVERAGE(K32:K32)/C5*365</f>
        <v>74.755639394050846</v>
      </c>
      <c r="L70" s="40">
        <f>AVERAGE(K32:L32)/D5*365</f>
        <v>85.040125571417335</v>
      </c>
      <c r="M70" s="40">
        <f>AVERAGE(L32:M32)/E5*365</f>
        <v>124.62906862679824</v>
      </c>
      <c r="N70" s="40">
        <f>AVERAGE(M32:N32)/F5*365</f>
        <v>208.78023203174664</v>
      </c>
      <c r="O70" s="40">
        <f>AVERAGE(N32:O32)/G5*365</f>
        <v>175.35458263840957</v>
      </c>
      <c r="P70" t="s">
        <v>164</v>
      </c>
    </row>
    <row r="71" spans="10:16" x14ac:dyDescent="0.3">
      <c r="J71" s="59" t="s">
        <v>49</v>
      </c>
      <c r="K71" s="40">
        <f>(AVERAGE(K42:K42)/SUM(C9:C11))*365</f>
        <v>78.945434619599709</v>
      </c>
      <c r="L71" s="40">
        <f>(AVERAGE(K42:L42)/SUM(D9:D11))*365</f>
        <v>75.51716684826377</v>
      </c>
      <c r="M71" s="40">
        <f>(AVERAGE(L42:M42)/SUM(E9:E11))*365</f>
        <v>84.421852467173224</v>
      </c>
      <c r="N71" s="40">
        <f>(AVERAGE(M42:N42)/SUM(F9:F11))*365</f>
        <v>152.20660920108338</v>
      </c>
      <c r="O71" s="40">
        <f>(AVERAGE(N42:O42)/SUM(G9:G11))*365</f>
        <v>138.32181805572415</v>
      </c>
      <c r="P71" t="s">
        <v>164</v>
      </c>
    </row>
    <row r="72" spans="10:16" x14ac:dyDescent="0.3">
      <c r="J72" s="59" t="s">
        <v>50</v>
      </c>
      <c r="K72" s="40">
        <f>(AVERAGE(K29:K29)/SUM(C9:C11))*365</f>
        <v>197.53832843052433</v>
      </c>
      <c r="L72" s="40">
        <f>(AVERAGE(K29:L29)/SUM(D9:D11))*365</f>
        <v>196.410772656213</v>
      </c>
      <c r="M72" s="40">
        <f>(AVERAGE(L29:M29)/SUM(E9:E11))*365</f>
        <v>185.78748408207323</v>
      </c>
      <c r="N72" s="40">
        <f>(AVERAGE(M29:N29)/SUM(F9:F11))*365</f>
        <v>309.41040113876744</v>
      </c>
      <c r="O72" s="40">
        <f>(AVERAGE(N29:O29)/SUM(G9:G11))*365</f>
        <v>288.19919551987795</v>
      </c>
      <c r="P72" t="s">
        <v>164</v>
      </c>
    </row>
    <row r="73" spans="10:16" x14ac:dyDescent="0.3">
      <c r="J73" s="59" t="s">
        <v>51</v>
      </c>
      <c r="K73" s="40">
        <f>K72+K70-K71</f>
        <v>193.34853320497547</v>
      </c>
      <c r="L73" s="40">
        <f t="shared" ref="L73:O73" si="23">L72+L70-L71</f>
        <v>205.93373137936655</v>
      </c>
      <c r="M73" s="40">
        <f t="shared" si="23"/>
        <v>225.99470024169824</v>
      </c>
      <c r="N73" s="40">
        <f t="shared" si="23"/>
        <v>365.98402396943067</v>
      </c>
      <c r="O73" s="40">
        <f t="shared" si="23"/>
        <v>325.23196010256333</v>
      </c>
      <c r="P73" t="s">
        <v>164</v>
      </c>
    </row>
    <row r="74" spans="10:16" x14ac:dyDescent="0.3">
      <c r="J74" s="59" t="s">
        <v>52</v>
      </c>
      <c r="K74" s="40">
        <f>K47/C5*365</f>
        <v>128.64460126213132</v>
      </c>
      <c r="L74" s="40">
        <f>L47/D5*365</f>
        <v>164.10712881740486</v>
      </c>
      <c r="M74" s="40">
        <f>M47/E5*365</f>
        <v>178.14590906871555</v>
      </c>
      <c r="N74" s="40">
        <f>N47/F5*365</f>
        <v>156.81127314056749</v>
      </c>
      <c r="O74" s="40">
        <f>O47/G5*365</f>
        <v>71.397836553921096</v>
      </c>
      <c r="P74" t="s">
        <v>164</v>
      </c>
    </row>
    <row r="75" spans="10:16" x14ac:dyDescent="0.3">
      <c r="J75" s="61" t="s">
        <v>53</v>
      </c>
      <c r="K75" s="37">
        <f>C20/K11</f>
        <v>7.9475350034869371E-2</v>
      </c>
      <c r="L75" s="37">
        <f>D20/L11</f>
        <v>2.9540789299430541E-2</v>
      </c>
      <c r="M75" s="37">
        <f>E20/M11</f>
        <v>4.5794772704159464E-2</v>
      </c>
      <c r="N75" s="37">
        <f>F20/N11</f>
        <v>0.10150692316795749</v>
      </c>
      <c r="O75" s="37">
        <f>G20/O11</f>
        <v>9.182261304070935E-2</v>
      </c>
      <c r="P75" t="s">
        <v>164</v>
      </c>
    </row>
    <row r="76" spans="10:16" x14ac:dyDescent="0.3">
      <c r="J76" s="52" t="s">
        <v>54</v>
      </c>
      <c r="K76" s="40">
        <f>(C21+C20)/C20</f>
        <v>13.185622679716509</v>
      </c>
      <c r="L76" s="40">
        <f>(D21+D20)/D20</f>
        <v>8.0862986831045145</v>
      </c>
      <c r="M76" s="40">
        <f>(E21+E20)/E20</f>
        <v>6.6078170108816305</v>
      </c>
      <c r="N76" s="40">
        <f>(F21+F20)/F20</f>
        <v>-0.61461234535915577</v>
      </c>
      <c r="O76" s="40">
        <f t="shared" ref="O76" si="24">(G21+G20)/G20</f>
        <v>-0.53397799266422386</v>
      </c>
      <c r="P76" t="s">
        <v>164</v>
      </c>
    </row>
    <row r="77" spans="10:16" x14ac:dyDescent="0.3">
      <c r="J77" s="61" t="s">
        <v>120</v>
      </c>
      <c r="K77" s="40">
        <f>C5/AVERAGE(K54)</f>
        <v>0.80476738187261621</v>
      </c>
      <c r="L77" s="40">
        <f>D5/AVERAGE(K54:L54)</f>
        <v>0.50982261599533885</v>
      </c>
      <c r="M77" s="40">
        <f>E5/AVERAGE(L54:M54)</f>
        <v>0.45797741936795366</v>
      </c>
      <c r="N77" s="40">
        <f>F5/AVERAGE(M54:N54)</f>
        <v>0.38476426601292835</v>
      </c>
      <c r="O77" s="40">
        <f>G5/AVERAGE(N54:O54)</f>
        <v>0.42475515102510591</v>
      </c>
      <c r="P77" t="s">
        <v>164</v>
      </c>
    </row>
  </sheetData>
  <mergeCells count="3">
    <mergeCell ref="B3:G3"/>
    <mergeCell ref="J3:O3"/>
    <mergeCell ref="B2:O2"/>
  </mergeCells>
  <phoneticPr fontId="15" type="noConversion"/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C53:D53 K72:M72 E53:F53 K70:M70 K71:M71" formulaRange="1"/>
    <ignoredError sqref="N5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ColWidth="8.88671875" defaultRowHeight="14.4" x14ac:dyDescent="0.3"/>
  <cols>
    <col min="1" max="1" width="45" customWidth="1"/>
    <col min="2" max="10" width="15.109375" customWidth="1"/>
  </cols>
  <sheetData>
    <row r="1" spans="1:11" x14ac:dyDescent="0.3">
      <c r="B1" s="1" t="s">
        <v>14</v>
      </c>
      <c r="C1" s="1" t="s">
        <v>72</v>
      </c>
      <c r="D1" s="1" t="s">
        <v>14</v>
      </c>
      <c r="E1" s="1" t="s">
        <v>72</v>
      </c>
      <c r="F1" s="1" t="s">
        <v>14</v>
      </c>
      <c r="G1" s="1" t="s">
        <v>72</v>
      </c>
      <c r="H1" s="1" t="s">
        <v>14</v>
      </c>
      <c r="I1" s="1" t="s">
        <v>72</v>
      </c>
      <c r="J1" s="1" t="s">
        <v>14</v>
      </c>
      <c r="K1" s="1" t="s">
        <v>72</v>
      </c>
    </row>
    <row r="2" spans="1:11" x14ac:dyDescent="0.3">
      <c r="A2" s="2" t="s">
        <v>73</v>
      </c>
      <c r="B2" s="96" t="s">
        <v>116</v>
      </c>
      <c r="C2" s="97"/>
      <c r="D2" s="96" t="s">
        <v>117</v>
      </c>
      <c r="E2" s="97"/>
      <c r="F2" s="96" t="s">
        <v>118</v>
      </c>
      <c r="G2" s="97"/>
      <c r="H2" s="98" t="s">
        <v>119</v>
      </c>
      <c r="I2" s="99"/>
      <c r="J2" s="96" t="s">
        <v>74</v>
      </c>
      <c r="K2" s="97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">
      <c r="A4" s="5" t="s">
        <v>75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">
      <c r="A5" s="3" t="s">
        <v>76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">
      <c r="A6" s="3" t="s">
        <v>77</v>
      </c>
      <c r="B6" s="6"/>
      <c r="C6" s="9" t="s">
        <v>71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">
      <c r="A7" s="3" t="s">
        <v>78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">
      <c r="A8" s="3" t="s">
        <v>79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">
      <c r="A9" s="3" t="s">
        <v>80</v>
      </c>
      <c r="B9" s="6"/>
      <c r="C9" s="9" t="s">
        <v>71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">
      <c r="A10" s="3" t="s">
        <v>78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">
      <c r="A11" s="3" t="s">
        <v>81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">
      <c r="A12" s="3" t="s">
        <v>9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">
      <c r="A13" s="3" t="s">
        <v>82</v>
      </c>
      <c r="B13" s="6"/>
      <c r="C13" s="9" t="s">
        <v>71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">
      <c r="A14" s="3" t="s">
        <v>78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">
      <c r="A15" s="3" t="s">
        <v>83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">
      <c r="A18" s="5" t="s">
        <v>84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">
      <c r="A19" s="3" t="s">
        <v>85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">
      <c r="A20" s="3" t="s">
        <v>66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">
      <c r="A21" s="3" t="s">
        <v>86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">
      <c r="A22" s="3" t="s">
        <v>87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">
      <c r="A24" s="5" t="s">
        <v>88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">
      <c r="A25" s="3" t="s">
        <v>89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">
      <c r="A26" s="3" t="s">
        <v>63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">
      <c r="A27" s="3" t="s">
        <v>90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">
      <c r="A29" s="3" t="s">
        <v>91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">
      <c r="A30" s="3" t="s">
        <v>65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">
      <c r="A31" s="3" t="s">
        <v>92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">
      <c r="A32" s="3" t="s">
        <v>93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">
      <c r="A34" s="3" t="s">
        <v>94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">
      <c r="A35" s="3" t="s">
        <v>47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">
      <c r="A36" s="3" t="s">
        <v>95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">
      <c r="A37" s="3" t="s">
        <v>96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">
      <c r="A38" s="3" t="s">
        <v>97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">
      <c r="A40" s="5" t="s">
        <v>98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">
      <c r="A41" s="3" t="s">
        <v>99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">
      <c r="A42" s="3" t="s">
        <v>100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">
      <c r="A43" s="3" t="s">
        <v>101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">
      <c r="A44" s="3" t="s">
        <v>102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">
      <c r="A45" s="3" t="s">
        <v>103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">
      <c r="A46" s="3" t="s">
        <v>104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">
      <c r="A47" s="3" t="s">
        <v>5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">
      <c r="A48" s="3" t="s">
        <v>105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">
      <c r="A49" s="3" t="s">
        <v>106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">
      <c r="A50" s="3" t="s">
        <v>107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">
      <c r="A51" s="3" t="s">
        <v>108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">
      <c r="A52" s="3" t="s">
        <v>109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">
      <c r="A53" s="3" t="s">
        <v>110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">
      <c r="A54" s="3" t="s">
        <v>111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">
      <c r="A55" s="3" t="s">
        <v>112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">
      <c r="A56" s="3" t="s">
        <v>113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">
      <c r="A57" s="3" t="s">
        <v>104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">
      <c r="A58" s="3" t="s">
        <v>114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">
      <c r="A59" s="28" t="s">
        <v>115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2026-08-20T10:49:44Z</dcterms:modified>
</cp:coreProperties>
</file>