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ashiana housing\"/>
    </mc:Choice>
  </mc:AlternateContent>
  <xr:revisionPtr revIDLastSave="0" documentId="13_ncr:1_{CE7288AE-5305-41DC-8230-5DD06EFBC9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1" i="1" l="1"/>
  <c r="G62" i="1"/>
  <c r="G59" i="1"/>
  <c r="G35" i="1"/>
  <c r="G36" i="1"/>
  <c r="G22" i="1"/>
  <c r="G20" i="1"/>
  <c r="G10" i="1"/>
  <c r="O74" i="1"/>
  <c r="G58" i="1"/>
  <c r="B10" i="1"/>
  <c r="B6" i="1"/>
  <c r="F20" i="1"/>
  <c r="F10" i="1"/>
  <c r="G6" i="1"/>
  <c r="N71" i="1" l="1"/>
  <c r="N74" i="1" s="1"/>
  <c r="N82" i="1"/>
  <c r="N84" i="1"/>
  <c r="N87" i="1"/>
  <c r="M71" i="1"/>
  <c r="M74" i="1" s="1"/>
  <c r="M82" i="1"/>
  <c r="M84" i="1"/>
  <c r="M87" i="1"/>
  <c r="N44" i="1"/>
  <c r="J87" i="1"/>
  <c r="L87" i="1"/>
  <c r="K87" i="1"/>
  <c r="G30" i="1" l="1"/>
  <c r="G34" i="1" s="1"/>
  <c r="G25" i="1"/>
  <c r="L84" i="1"/>
  <c r="J84" i="1"/>
  <c r="K84" i="1"/>
  <c r="L56" i="1"/>
  <c r="N56" i="1"/>
  <c r="M56" i="1"/>
  <c r="N83" i="1" s="1"/>
  <c r="N85" i="1" s="1"/>
  <c r="K56" i="1"/>
  <c r="J56" i="1"/>
  <c r="J44" i="1"/>
  <c r="J27" i="1"/>
  <c r="L82" i="1"/>
  <c r="J82" i="1"/>
  <c r="K82" i="1"/>
  <c r="L71" i="1"/>
  <c r="L74" i="1" s="1"/>
  <c r="K71" i="1"/>
  <c r="K74" i="1" s="1"/>
  <c r="J71" i="1"/>
  <c r="E61" i="1"/>
  <c r="F61" i="1"/>
  <c r="D61" i="1"/>
  <c r="C61" i="1"/>
  <c r="B61" i="1"/>
  <c r="B58" i="1"/>
  <c r="B59" i="1" s="1"/>
  <c r="C58" i="1"/>
  <c r="C59" i="1" s="1"/>
  <c r="D58" i="1"/>
  <c r="D59" i="1" s="1"/>
  <c r="E58" i="1"/>
  <c r="E59" i="1" s="1"/>
  <c r="F58" i="1"/>
  <c r="F59" i="1" s="1"/>
  <c r="M83" i="1" l="1"/>
  <c r="M85" i="1" s="1"/>
  <c r="L83" i="1"/>
  <c r="L85" i="1" s="1"/>
  <c r="K83" i="1"/>
  <c r="K85" i="1" s="1"/>
  <c r="J83" i="1"/>
  <c r="J85" i="1" s="1"/>
  <c r="F54" i="1"/>
  <c r="E54" i="1"/>
  <c r="D54" i="1"/>
  <c r="C54" i="1"/>
  <c r="B54" i="1"/>
  <c r="F53" i="1"/>
  <c r="E53" i="1"/>
  <c r="D53" i="1"/>
  <c r="C53" i="1"/>
  <c r="B53" i="1"/>
  <c r="F49" i="1"/>
  <c r="E49" i="1"/>
  <c r="D49" i="1"/>
  <c r="C49" i="1"/>
  <c r="B49" i="1"/>
  <c r="B50" i="1" s="1"/>
  <c r="C45" i="1" s="1"/>
  <c r="N9" i="1"/>
  <c r="M9" i="1"/>
  <c r="K9" i="1"/>
  <c r="J9" i="1"/>
  <c r="M8" i="1"/>
  <c r="K8" i="1"/>
  <c r="J8" i="1"/>
  <c r="L8" i="1"/>
  <c r="L9" i="1"/>
  <c r="L27" i="1"/>
  <c r="L14" i="1"/>
  <c r="M14" i="1"/>
  <c r="K27" i="1"/>
  <c r="K14" i="1"/>
  <c r="D55" i="1" l="1"/>
  <c r="L10" i="1"/>
  <c r="J10" i="1"/>
  <c r="J86" i="1" s="1"/>
  <c r="K10" i="1"/>
  <c r="K86" i="1" s="1"/>
  <c r="E55" i="1"/>
  <c r="B55" i="1"/>
  <c r="C50" i="1"/>
  <c r="D45" i="1" s="1"/>
  <c r="D50" i="1" s="1"/>
  <c r="E45" i="1" s="1"/>
  <c r="E50" i="1" s="1"/>
  <c r="F45" i="1" s="1"/>
  <c r="F50" i="1" s="1"/>
  <c r="L65" i="1"/>
  <c r="L86" i="1"/>
  <c r="D60" i="1"/>
  <c r="D62" i="1" s="1"/>
  <c r="K65" i="1"/>
  <c r="C55" i="1"/>
  <c r="F55" i="1"/>
  <c r="B60" i="1" l="1"/>
  <c r="B62" i="1" s="1"/>
  <c r="C60" i="1"/>
  <c r="C62" i="1" s="1"/>
  <c r="N57" i="1"/>
  <c r="N27" i="1"/>
  <c r="N7" i="1"/>
  <c r="N72" i="1" s="1"/>
  <c r="N75" i="1" s="1"/>
  <c r="M7" i="1"/>
  <c r="M72" i="1" s="1"/>
  <c r="M75" i="1" s="1"/>
  <c r="L7" i="1"/>
  <c r="K7" i="1"/>
  <c r="J7" i="1"/>
  <c r="M10" i="1"/>
  <c r="N10" i="1"/>
  <c r="J57" i="1"/>
  <c r="M57" i="1"/>
  <c r="L57" i="1"/>
  <c r="K57" i="1"/>
  <c r="J14" i="1"/>
  <c r="K44" i="1"/>
  <c r="L44" i="1"/>
  <c r="M44" i="1"/>
  <c r="M27" i="1"/>
  <c r="N14" i="1"/>
  <c r="M79" i="1" l="1"/>
  <c r="M80" i="1"/>
  <c r="M86" i="1"/>
  <c r="N79" i="1"/>
  <c r="N80" i="1"/>
  <c r="N86" i="1"/>
  <c r="J79" i="1"/>
  <c r="J72" i="1"/>
  <c r="J75" i="1" s="1"/>
  <c r="J80" i="1"/>
  <c r="K80" i="1"/>
  <c r="K79" i="1"/>
  <c r="K72" i="1"/>
  <c r="K75" i="1" s="1"/>
  <c r="L79" i="1"/>
  <c r="L72" i="1"/>
  <c r="L75" i="1" s="1"/>
  <c r="L80" i="1"/>
  <c r="E60" i="1"/>
  <c r="E62" i="1" s="1"/>
  <c r="F60" i="1"/>
  <c r="F62" i="1" s="1"/>
  <c r="N11" i="1"/>
  <c r="N66" i="1"/>
  <c r="L11" i="1"/>
  <c r="L66" i="1"/>
  <c r="J11" i="1"/>
  <c r="J66" i="1"/>
  <c r="K66" i="1"/>
  <c r="K11" i="1"/>
  <c r="M11" i="1"/>
  <c r="M66" i="1"/>
  <c r="M65" i="1"/>
  <c r="J65" i="1"/>
  <c r="N65" i="1"/>
  <c r="C10" i="1" l="1"/>
  <c r="C20" i="1" s="1"/>
  <c r="C6" i="1"/>
  <c r="E33" i="1"/>
  <c r="D33" i="1"/>
  <c r="C33" i="1"/>
  <c r="B33" i="1"/>
  <c r="F6" i="1"/>
  <c r="F22" i="1" s="1"/>
  <c r="D6" i="1"/>
  <c r="E6" i="1"/>
  <c r="B20" i="1"/>
  <c r="B22" i="1" s="1"/>
  <c r="D10" i="1"/>
  <c r="D20" i="1" s="1"/>
  <c r="E10" i="1"/>
  <c r="E20" i="1" s="1"/>
  <c r="C22" i="1" l="1"/>
  <c r="E7" i="1"/>
  <c r="C7" i="1"/>
  <c r="E22" i="1"/>
  <c r="D7" i="1"/>
  <c r="F7" i="1"/>
  <c r="E8" i="1"/>
  <c r="F8" i="1"/>
  <c r="D22" i="1"/>
  <c r="K88" i="1" l="1"/>
  <c r="K76" i="1"/>
  <c r="M88" i="1"/>
  <c r="M76" i="1"/>
  <c r="D25" i="1"/>
  <c r="L88" i="1"/>
  <c r="L76" i="1"/>
  <c r="N88" i="1"/>
  <c r="N76" i="1"/>
  <c r="F24" i="1"/>
  <c r="F25" i="1"/>
  <c r="F30" i="1"/>
  <c r="F23" i="1"/>
  <c r="E30" i="1"/>
  <c r="E23" i="1"/>
  <c r="E25" i="1"/>
  <c r="B30" i="1"/>
  <c r="B25" i="1"/>
  <c r="C23" i="1"/>
  <c r="C30" i="1"/>
  <c r="C25" i="1"/>
  <c r="D23" i="1"/>
  <c r="D30" i="1"/>
  <c r="E35" i="1" l="1"/>
  <c r="M78" i="1"/>
  <c r="C34" i="1"/>
  <c r="K78" i="1"/>
  <c r="D35" i="1"/>
  <c r="D36" i="1" s="1"/>
  <c r="L78" i="1"/>
  <c r="F34" i="1"/>
  <c r="N78" i="1"/>
  <c r="F35" i="1"/>
  <c r="E34" i="1"/>
  <c r="B34" i="1"/>
  <c r="B35" i="1"/>
  <c r="B36" i="1" s="1"/>
  <c r="C35" i="1"/>
  <c r="K77" i="1" s="1"/>
  <c r="D34" i="1"/>
  <c r="L77" i="1" l="1"/>
  <c r="M77" i="1"/>
  <c r="E36" i="1"/>
  <c r="F36" i="1"/>
  <c r="N77" i="1"/>
  <c r="F37" i="1"/>
  <c r="C36" i="1"/>
</calcChain>
</file>

<file path=xl/sharedStrings.xml><?xml version="1.0" encoding="utf-8"?>
<sst xmlns="http://schemas.openxmlformats.org/spreadsheetml/2006/main" count="205" uniqueCount="143">
  <si>
    <t>Income Statement</t>
  </si>
  <si>
    <t>Balance Sheet</t>
  </si>
  <si>
    <t>Y/E, Mar (Rs. Cr)</t>
  </si>
  <si>
    <t>FY22</t>
  </si>
  <si>
    <t>FY23</t>
  </si>
  <si>
    <t>FY 24</t>
  </si>
  <si>
    <t>FY24</t>
  </si>
  <si>
    <t>Revenue from Operations</t>
  </si>
  <si>
    <t>Equity Share Capital</t>
  </si>
  <si>
    <t>Other Income</t>
  </si>
  <si>
    <t>Networth/Shareholders Fund/ Book Value</t>
  </si>
  <si>
    <t>Growth (%)</t>
  </si>
  <si>
    <t>CAGR (%) - 3 Years</t>
  </si>
  <si>
    <t>Long Term Debt</t>
  </si>
  <si>
    <t>Expenditure</t>
  </si>
  <si>
    <t>Short Term Debt</t>
  </si>
  <si>
    <t>Loans</t>
  </si>
  <si>
    <t>Capital Employed</t>
  </si>
  <si>
    <t>NON- CURRENT ASSETS</t>
  </si>
  <si>
    <t>Property, Palnt and Equipment</t>
  </si>
  <si>
    <t>Capital WIP</t>
  </si>
  <si>
    <t>EBITDA</t>
  </si>
  <si>
    <t>Investment Property</t>
  </si>
  <si>
    <t>EBITDA margin (%)</t>
  </si>
  <si>
    <t>Intangible Assets Under Development</t>
  </si>
  <si>
    <t>Depreciation and amortisation cost</t>
  </si>
  <si>
    <t>Finance Cost</t>
  </si>
  <si>
    <t>Financial Assets</t>
  </si>
  <si>
    <t>PBT</t>
  </si>
  <si>
    <t>c) Other Financial Assets</t>
  </si>
  <si>
    <t>Current Tax</t>
  </si>
  <si>
    <t>Deferred Tax</t>
  </si>
  <si>
    <t>Total Tax Expense</t>
  </si>
  <si>
    <t>Effective tax rate (%)</t>
  </si>
  <si>
    <t>CURRENT ASSETS, LOANS &amp; ADVANCES</t>
  </si>
  <si>
    <t>Inventories</t>
  </si>
  <si>
    <t>PAT margin (%)</t>
  </si>
  <si>
    <t>Other Current Assets</t>
  </si>
  <si>
    <t>Profit for the year</t>
  </si>
  <si>
    <t>CURRENT LIABILITIES &amp; PROVISIONS</t>
  </si>
  <si>
    <t>Financial Liabilities</t>
  </si>
  <si>
    <t>Total comprehensive income for the year</t>
  </si>
  <si>
    <t>(i) Lease liabilities</t>
  </si>
  <si>
    <t>EPS</t>
  </si>
  <si>
    <t>Other current liabilities</t>
  </si>
  <si>
    <t>Cash and Cash Equivalents at Beginning of the year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</si>
  <si>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</si>
  <si>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</si>
  <si>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</si>
  <si>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</si>
  <si>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</si>
  <si>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</si>
  <si>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</si>
  <si>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Cash and Cash Equivalents at End of the year</t>
  </si>
  <si>
    <t>TOTAL ASSETS</t>
  </si>
  <si>
    <t xml:space="preserve">Operating Cash Inflow </t>
  </si>
  <si>
    <t>TOTAL LIABILITIES</t>
  </si>
  <si>
    <t>Capital Expenditure</t>
  </si>
  <si>
    <t>Key ratios</t>
  </si>
  <si>
    <t xml:space="preserve"> </t>
  </si>
  <si>
    <t>CMP(Rs)</t>
  </si>
  <si>
    <t>No. of Shares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</si>
  <si>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</si>
  <si>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</si>
  <si>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</si>
  <si>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</si>
  <si>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</si>
  <si>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</si>
  <si>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</si>
  <si>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</si>
  <si>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</si>
  <si>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</si>
  <si>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</si>
  <si>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</si>
  <si>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</si>
  <si>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</si>
  <si>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</si>
  <si>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</si>
  <si>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</si>
  <si>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</si>
  <si>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Interest Cost</t>
  </si>
  <si>
    <t>Fixed Assets Turnover Ratio</t>
  </si>
  <si>
    <t>Interest coverage ratio</t>
  </si>
  <si>
    <t>Y/E, Mar (Rs. Mn)</t>
  </si>
  <si>
    <t>FY 25</t>
  </si>
  <si>
    <t>FY25</t>
  </si>
  <si>
    <t>FY26</t>
  </si>
  <si>
    <t>Income from Partnership</t>
  </si>
  <si>
    <t>Total Revenue from Operations</t>
  </si>
  <si>
    <t>Direct Costs:</t>
  </si>
  <si>
    <t>Purchases</t>
  </si>
  <si>
    <t>Project Expenses</t>
  </si>
  <si>
    <t>Changes in Inventories</t>
  </si>
  <si>
    <t>Hotel &amp; Club Expenses</t>
  </si>
  <si>
    <t>Real Estate Support Operations Expenses</t>
  </si>
  <si>
    <t>Employee Benefits Expense</t>
  </si>
  <si>
    <t>Selling Expenses</t>
  </si>
  <si>
    <t>Other Expenses</t>
  </si>
  <si>
    <t>Total Expenses</t>
  </si>
  <si>
    <t>Excp Item</t>
  </si>
  <si>
    <t>Diluted Earnings Per Share</t>
  </si>
  <si>
    <t>Ashiana Housing Ltd. (Consolidated)</t>
  </si>
  <si>
    <t>-</t>
  </si>
  <si>
    <t>Deffered Tax Assets (Net)</t>
  </si>
  <si>
    <t>Goodwill</t>
  </si>
  <si>
    <t>Other Intangible assets</t>
  </si>
  <si>
    <t>Leased Assets</t>
  </si>
  <si>
    <t>a) Investment Others</t>
  </si>
  <si>
    <t>b) Investment Others</t>
  </si>
  <si>
    <t>a) Investment in Subsidiaries / Joint Venture</t>
  </si>
  <si>
    <t>c) Trade Receviables</t>
  </si>
  <si>
    <t>d) Cash and Cash Equivalent</t>
  </si>
  <si>
    <t>e) Other Bank Balance</t>
  </si>
  <si>
    <t>f) Loans</t>
  </si>
  <si>
    <t>g) Other Current Financial Assets</t>
  </si>
  <si>
    <t xml:space="preserve">a) Trade advance &amp; Depoist </t>
  </si>
  <si>
    <t>b) EWS/LIG units</t>
  </si>
  <si>
    <t>c) Unaccrued selling expense</t>
  </si>
  <si>
    <t>Current tax assets (net)</t>
  </si>
  <si>
    <t>(i) Borrowings</t>
  </si>
  <si>
    <t>(iii) Trade Payables</t>
  </si>
  <si>
    <t xml:space="preserve">(vi) Other financial liabilities </t>
  </si>
  <si>
    <t>Current Provisions</t>
  </si>
  <si>
    <t xml:space="preserve">a) Advance from customers </t>
  </si>
  <si>
    <t>b) Others</t>
  </si>
  <si>
    <t>b) Investment in Joint Venture</t>
  </si>
  <si>
    <t>Non-Current Provision</t>
  </si>
  <si>
    <t>Other Equity</t>
  </si>
  <si>
    <t>Non-Controlling Interest</t>
  </si>
  <si>
    <t>Non-current liabilities</t>
  </si>
  <si>
    <t>Borrowings</t>
  </si>
  <si>
    <t xml:space="preserve"> Dues of micro enterprises and small enterprises</t>
  </si>
  <si>
    <t>Dues of creditors other than micro enterprises and small enterprises</t>
  </si>
  <si>
    <t>FCFF</t>
  </si>
  <si>
    <t>CASH FLOW STATEMENT (INR Mn)</t>
  </si>
  <si>
    <t>Free Cash Flow (INR MN)</t>
  </si>
  <si>
    <t>IN INR MN</t>
  </si>
  <si>
    <t xml:space="preserve">EPS (Rs) </t>
  </si>
  <si>
    <t>NA</t>
  </si>
  <si>
    <t>Trade Payables</t>
  </si>
  <si>
    <t>Q1 FY27</t>
  </si>
  <si>
    <t xml:space="preserve">Q1 FY27 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</si>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</sst>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2" fillId="0" borderId="16" xfId="0" applyFont="1" applyBorder="1"/>
    <xf numFmtId="0" fontId="0" fillId="0" borderId="14" xfId="0" applyBorder="1"/>
    <xf numFmtId="0" fontId="0" fillId="3" borderId="0" xfId="0" applyFill="1"/>
    <xf numFmtId="0" fontId="7" fillId="0" borderId="0" xfId="0" applyFont="1" applyAlignment="1">
      <alignment horizontal="center"/>
    </xf>
    <xf numFmtId="0" fontId="2" fillId="0" borderId="41" xfId="0" applyFont="1" applyBorder="1"/>
    <xf numFmtId="0" fontId="2" fillId="0" borderId="4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1" fontId="0" fillId="0" borderId="16" xfId="0" applyNumberFormat="1" applyBorder="1"/>
    <xf numFmtId="10" fontId="0" fillId="0" borderId="0" xfId="0" applyNumberFormat="1"/>
    <xf numFmtId="0" fontId="0" fillId="0" borderId="4" xfId="0" applyBorder="1"/>
    <xf numFmtId="0" fontId="0" fillId="0" borderId="16" xfId="0" applyBorder="1"/>
    <xf numFmtId="0" fontId="2" fillId="5" borderId="16" xfId="0" applyFont="1" applyFill="1" applyBorder="1"/>
    <xf numFmtId="167" fontId="2" fillId="5" borderId="16" xfId="0" applyNumberFormat="1" applyFont="1" applyFill="1" applyBorder="1"/>
    <xf numFmtId="164" fontId="0" fillId="0" borderId="0" xfId="0" applyNumberFormat="1"/>
    <xf numFmtId="0" fontId="2" fillId="4" borderId="4" xfId="0" applyFont="1" applyFill="1" applyBorder="1"/>
    <xf numFmtId="0" fontId="8" fillId="4" borderId="16" xfId="0" applyFont="1" applyFill="1" applyBorder="1"/>
    <xf numFmtId="10" fontId="8" fillId="4" borderId="16" xfId="0" applyNumberFormat="1" applyFont="1" applyFill="1" applyBorder="1" applyAlignment="1">
      <alignment horizontal="center"/>
    </xf>
    <xf numFmtId="168" fontId="8" fillId="4" borderId="16" xfId="2" applyNumberFormat="1" applyFont="1" applyFill="1" applyBorder="1"/>
    <xf numFmtId="10" fontId="8" fillId="4" borderId="16" xfId="0" applyNumberFormat="1" applyFont="1" applyFill="1" applyBorder="1"/>
    <xf numFmtId="0" fontId="2" fillId="6" borderId="16" xfId="0" applyFont="1" applyFill="1" applyBorder="1"/>
    <xf numFmtId="166" fontId="2" fillId="6" borderId="16" xfId="0" applyNumberFormat="1" applyFont="1" applyFill="1" applyBorder="1"/>
    <xf numFmtId="43" fontId="2" fillId="7" borderId="16" xfId="0" applyNumberFormat="1" applyFont="1" applyFill="1" applyBorder="1"/>
    <xf numFmtId="167" fontId="2" fillId="0" borderId="16" xfId="1" applyNumberFormat="1" applyFont="1" applyBorder="1"/>
    <xf numFmtId="167" fontId="0" fillId="0" borderId="16" xfId="0" applyNumberFormat="1" applyBorder="1"/>
    <xf numFmtId="0" fontId="2" fillId="4" borderId="8" xfId="0" applyFont="1" applyFill="1" applyBorder="1"/>
    <xf numFmtId="167" fontId="2" fillId="0" borderId="16" xfId="0" applyNumberFormat="1" applyFont="1" applyBorder="1"/>
    <xf numFmtId="167" fontId="0" fillId="0" borderId="16" xfId="1" applyNumberFormat="1" applyFont="1" applyBorder="1"/>
    <xf numFmtId="0" fontId="2" fillId="4" borderId="16" xfId="0" applyFont="1" applyFill="1" applyBorder="1"/>
    <xf numFmtId="10" fontId="2" fillId="5" borderId="16" xfId="0" applyNumberFormat="1" applyFont="1" applyFill="1" applyBorder="1"/>
    <xf numFmtId="1" fontId="2" fillId="5" borderId="16" xfId="0" applyNumberFormat="1" applyFont="1" applyFill="1" applyBorder="1"/>
    <xf numFmtId="1" fontId="0" fillId="0" borderId="16" xfId="0" applyNumberFormat="1" applyBorder="1" applyAlignment="1">
      <alignment horizontal="center"/>
    </xf>
    <xf numFmtId="1" fontId="2" fillId="0" borderId="16" xfId="0" applyNumberFormat="1" applyFont="1" applyBorder="1"/>
    <xf numFmtId="10" fontId="8" fillId="5" borderId="16" xfId="0" applyNumberFormat="1" applyFont="1" applyFill="1" applyBorder="1"/>
    <xf numFmtId="1" fontId="0" fillId="5" borderId="16" xfId="0" applyNumberFormat="1" applyFill="1" applyBorder="1"/>
    <xf numFmtId="165" fontId="0" fillId="0" borderId="16" xfId="0" applyNumberFormat="1" applyBorder="1"/>
    <xf numFmtId="0" fontId="0" fillId="0" borderId="25" xfId="0" applyBorder="1"/>
    <xf numFmtId="0" fontId="0" fillId="0" borderId="26" xfId="0" applyBorder="1"/>
    <xf numFmtId="0" fontId="2" fillId="0" borderId="25" xfId="0" applyFont="1" applyBorder="1"/>
    <xf numFmtId="0" fontId="2" fillId="0" borderId="26" xfId="0" applyFont="1" applyBorder="1"/>
    <xf numFmtId="0" fontId="0" fillId="0" borderId="8" xfId="0" applyBorder="1"/>
    <xf numFmtId="0" fontId="2" fillId="0" borderId="13" xfId="0" applyFont="1" applyBorder="1" applyAlignment="1">
      <alignment horizontal="center"/>
    </xf>
    <xf numFmtId="0" fontId="2" fillId="0" borderId="23" xfId="0" applyFont="1" applyBorder="1"/>
    <xf numFmtId="0" fontId="0" fillId="0" borderId="23" xfId="0" applyBorder="1"/>
    <xf numFmtId="166" fontId="0" fillId="0" borderId="4" xfId="0" applyNumberFormat="1" applyBorder="1"/>
    <xf numFmtId="0" fontId="2" fillId="0" borderId="24" xfId="0" applyFont="1" applyBorder="1"/>
    <xf numFmtId="0" fontId="0" fillId="0" borderId="29" xfId="0" applyBorder="1"/>
    <xf numFmtId="0" fontId="0" fillId="0" borderId="15" xfId="0" applyBorder="1"/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3" fontId="2" fillId="0" borderId="30" xfId="0" applyNumberFormat="1" applyFont="1" applyBorder="1" applyAlignment="1">
      <alignment horizontal="center"/>
    </xf>
    <xf numFmtId="166" fontId="6" fillId="0" borderId="6" xfId="0" applyNumberFormat="1" applyFont="1" applyBorder="1"/>
    <xf numFmtId="0" fontId="2" fillId="4" borderId="24" xfId="0" applyFont="1" applyFill="1" applyBorder="1"/>
    <xf numFmtId="0" fontId="0" fillId="0" borderId="27" xfId="0" applyBorder="1"/>
    <xf numFmtId="0" fontId="0" fillId="0" borderId="32" xfId="0" applyBorder="1"/>
    <xf numFmtId="0" fontId="2" fillId="0" borderId="0" xfId="0" applyFont="1" applyAlignment="1">
      <alignment horizontal="center"/>
    </xf>
    <xf numFmtId="166" fontId="2" fillId="0" borderId="0" xfId="0" applyNumberFormat="1" applyFont="1"/>
    <xf numFmtId="166" fontId="0" fillId="0" borderId="0" xfId="0" applyNumberFormat="1"/>
    <xf numFmtId="43" fontId="2" fillId="0" borderId="0" xfId="0" applyNumberFormat="1" applyFont="1"/>
    <xf numFmtId="0" fontId="2" fillId="4" borderId="9" xfId="0" applyFont="1" applyFill="1" applyBorder="1"/>
    <xf numFmtId="10" fontId="8" fillId="0" borderId="0" xfId="0" applyNumberFormat="1" applyFont="1"/>
    <xf numFmtId="3" fontId="10" fillId="0" borderId="0" xfId="0" applyNumberFormat="1" applyFont="1"/>
    <xf numFmtId="0" fontId="9" fillId="0" borderId="34" xfId="0" applyFont="1" applyBorder="1"/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5" fillId="0" borderId="0" xfId="0" applyFont="1"/>
    <xf numFmtId="165" fontId="9" fillId="0" borderId="38" xfId="0" applyNumberFormat="1" applyFont="1" applyBorder="1"/>
    <xf numFmtId="165" fontId="6" fillId="0" borderId="38" xfId="0" applyNumberFormat="1" applyFont="1" applyBorder="1"/>
    <xf numFmtId="0" fontId="9" fillId="0" borderId="0" xfId="0" applyFont="1"/>
    <xf numFmtId="168" fontId="6" fillId="0" borderId="38" xfId="0" applyNumberFormat="1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167" fontId="0" fillId="0" borderId="5" xfId="1" applyNumberFormat="1" applyFont="1" applyBorder="1"/>
    <xf numFmtId="167" fontId="0" fillId="0" borderId="6" xfId="1" applyNumberFormat="1" applyFont="1" applyBorder="1"/>
    <xf numFmtId="167" fontId="0" fillId="0" borderId="18" xfId="1" applyNumberFormat="1" applyFont="1" applyBorder="1"/>
    <xf numFmtId="167" fontId="2" fillId="4" borderId="5" xfId="0" applyNumberFormat="1" applyFont="1" applyFill="1" applyBorder="1"/>
    <xf numFmtId="167" fontId="2" fillId="0" borderId="5" xfId="0" applyNumberFormat="1" applyFont="1" applyBorder="1"/>
    <xf numFmtId="167" fontId="0" fillId="0" borderId="5" xfId="0" applyNumberFormat="1" applyBorder="1"/>
    <xf numFmtId="167" fontId="4" fillId="0" borderId="6" xfId="0" applyNumberFormat="1" applyFont="1" applyBorder="1"/>
    <xf numFmtId="167" fontId="4" fillId="0" borderId="16" xfId="0" applyNumberFormat="1" applyFont="1" applyBorder="1"/>
    <xf numFmtId="167" fontId="2" fillId="4" borderId="16" xfId="0" applyNumberFormat="1" applyFont="1" applyFill="1" applyBorder="1"/>
    <xf numFmtId="167" fontId="0" fillId="0" borderId="6" xfId="0" applyNumberFormat="1" applyBorder="1"/>
    <xf numFmtId="167" fontId="2" fillId="5" borderId="5" xfId="0" applyNumberFormat="1" applyFont="1" applyFill="1" applyBorder="1"/>
    <xf numFmtId="167" fontId="2" fillId="4" borderId="11" xfId="0" applyNumberFormat="1" applyFont="1" applyFill="1" applyBorder="1"/>
    <xf numFmtId="167" fontId="0" fillId="0" borderId="5" xfId="0" applyNumberFormat="1" applyBorder="1" applyAlignment="1">
      <alignment horizontal="center"/>
    </xf>
    <xf numFmtId="0" fontId="13" fillId="0" borderId="4" xfId="0" applyFont="1" applyBorder="1" applyAlignment="1">
      <alignment horizontal="left"/>
    </xf>
    <xf numFmtId="1" fontId="0" fillId="0" borderId="0" xfId="0" applyNumberFormat="1"/>
    <xf numFmtId="0" fontId="6" fillId="0" borderId="45" xfId="0" applyFont="1" applyBorder="1"/>
    <xf numFmtId="0" fontId="2" fillId="6" borderId="4" xfId="0" applyFont="1" applyFill="1" applyBorder="1"/>
    <xf numFmtId="167" fontId="2" fillId="6" borderId="6" xfId="0" applyNumberFormat="1" applyFont="1" applyFill="1" applyBorder="1"/>
    <xf numFmtId="0" fontId="11" fillId="5" borderId="46" xfId="0" applyFont="1" applyFill="1" applyBorder="1" applyAlignment="1">
      <alignment horizontal="left" vertical="center"/>
    </xf>
    <xf numFmtId="166" fontId="13" fillId="0" borderId="4" xfId="0" applyNumberFormat="1" applyFont="1" applyBorder="1"/>
    <xf numFmtId="4" fontId="0" fillId="0" borderId="0" xfId="0" applyNumberFormat="1"/>
    <xf numFmtId="0" fontId="0" fillId="7" borderId="5" xfId="0" applyFill="1" applyBorder="1"/>
    <xf numFmtId="0" fontId="0" fillId="7" borderId="6" xfId="0" applyFill="1" applyBorder="1"/>
    <xf numFmtId="43" fontId="6" fillId="6" borderId="5" xfId="0" applyNumberFormat="1" applyFont="1" applyFill="1" applyBorder="1"/>
    <xf numFmtId="43" fontId="6" fillId="7" borderId="5" xfId="0" applyNumberFormat="1" applyFont="1" applyFill="1" applyBorder="1"/>
    <xf numFmtId="2" fontId="6" fillId="7" borderId="5" xfId="0" applyNumberFormat="1" applyFont="1" applyFill="1" applyBorder="1"/>
    <xf numFmtId="2" fontId="6" fillId="7" borderId="6" xfId="0" applyNumberFormat="1" applyFont="1" applyFill="1" applyBorder="1"/>
    <xf numFmtId="10" fontId="6" fillId="6" borderId="5" xfId="0" applyNumberFormat="1" applyFont="1" applyFill="1" applyBorder="1"/>
    <xf numFmtId="10" fontId="6" fillId="6" borderId="6" xfId="0" applyNumberFormat="1" applyFont="1" applyFill="1" applyBorder="1"/>
    <xf numFmtId="2" fontId="6" fillId="6" borderId="5" xfId="0" applyNumberFormat="1" applyFont="1" applyFill="1" applyBorder="1"/>
    <xf numFmtId="1" fontId="6" fillId="6" borderId="5" xfId="0" applyNumberFormat="1" applyFont="1" applyFill="1" applyBorder="1"/>
    <xf numFmtId="167" fontId="6" fillId="6" borderId="5" xfId="0" applyNumberFormat="1" applyFont="1" applyFill="1" applyBorder="1"/>
    <xf numFmtId="0" fontId="2" fillId="5" borderId="27" xfId="0" applyFont="1" applyFill="1" applyBorder="1"/>
    <xf numFmtId="0" fontId="2" fillId="5" borderId="13" xfId="0" applyFont="1" applyFill="1" applyBorder="1" applyAlignment="1">
      <alignment horizontal="center"/>
    </xf>
    <xf numFmtId="43" fontId="2" fillId="5" borderId="13" xfId="0" applyNumberFormat="1" applyFont="1" applyFill="1" applyBorder="1" applyAlignment="1">
      <alignment horizontal="center"/>
    </xf>
    <xf numFmtId="43" fontId="2" fillId="5" borderId="12" xfId="0" applyNumberFormat="1" applyFont="1" applyFill="1" applyBorder="1" applyAlignment="1">
      <alignment horizontal="center"/>
    </xf>
    <xf numFmtId="43" fontId="2" fillId="5" borderId="28" xfId="0" applyNumberFormat="1" applyFont="1" applyFill="1" applyBorder="1" applyAlignment="1">
      <alignment horizontal="center"/>
    </xf>
    <xf numFmtId="1" fontId="0" fillId="0" borderId="5" xfId="0" applyNumberFormat="1" applyBorder="1"/>
    <xf numFmtId="3" fontId="0" fillId="0" borderId="0" xfId="0" applyNumberFormat="1"/>
    <xf numFmtId="167" fontId="2" fillId="4" borderId="10" xfId="0" applyNumberFormat="1" applyFont="1" applyFill="1" applyBorder="1"/>
    <xf numFmtId="3" fontId="0" fillId="0" borderId="5" xfId="0" applyNumberFormat="1" applyBorder="1"/>
    <xf numFmtId="0" fontId="2" fillId="0" borderId="47" xfId="0" applyFont="1" applyBorder="1"/>
    <xf numFmtId="167" fontId="0" fillId="4" borderId="6" xfId="0" applyNumberFormat="1" applyFill="1" applyBorder="1"/>
    <xf numFmtId="0" fontId="0" fillId="4" borderId="48" xfId="0" applyFill="1" applyBorder="1"/>
    <xf numFmtId="1" fontId="6" fillId="0" borderId="6" xfId="0" applyNumberFormat="1" applyFont="1" applyBorder="1"/>
    <xf numFmtId="167" fontId="9" fillId="4" borderId="11" xfId="0" applyNumberFormat="1" applyFont="1" applyFill="1" applyBorder="1"/>
    <xf numFmtId="1" fontId="6" fillId="0" borderId="5" xfId="0" applyNumberFormat="1" applyFont="1" applyBorder="1"/>
    <xf numFmtId="167" fontId="6" fillId="0" borderId="16" xfId="0" applyNumberFormat="1" applyFont="1" applyBorder="1"/>
    <xf numFmtId="167" fontId="6" fillId="4" borderId="31" xfId="0" applyNumberFormat="1" applyFont="1" applyFill="1" applyBorder="1"/>
    <xf numFmtId="167" fontId="6" fillId="4" borderId="13" xfId="0" applyNumberFormat="1" applyFont="1" applyFill="1" applyBorder="1"/>
    <xf numFmtId="167" fontId="6" fillId="4" borderId="12" xfId="0" applyNumberFormat="1" applyFont="1" applyFill="1" applyBorder="1"/>
    <xf numFmtId="167" fontId="6" fillId="4" borderId="5" xfId="0" applyNumberFormat="1" applyFont="1" applyFill="1" applyBorder="1"/>
    <xf numFmtId="167" fontId="6" fillId="4" borderId="33" xfId="0" applyNumberFormat="1" applyFont="1" applyFill="1" applyBorder="1"/>
    <xf numFmtId="43" fontId="2" fillId="0" borderId="16" xfId="0" applyNumberFormat="1" applyFont="1" applyBorder="1"/>
    <xf numFmtId="43" fontId="6" fillId="6" borderId="5" xfId="0" applyNumberFormat="1" applyFont="1" applyFill="1" applyBorder="1" applyAlignment="1">
      <alignment horizontal="center"/>
    </xf>
    <xf numFmtId="0" fontId="2" fillId="0" borderId="49" xfId="0" applyFont="1" applyBorder="1" applyAlignment="1">
      <alignment horizontal="right"/>
    </xf>
    <xf numFmtId="167" fontId="0" fillId="0" borderId="50" xfId="1" applyNumberFormat="1" applyFont="1" applyBorder="1"/>
    <xf numFmtId="167" fontId="0" fillId="0" borderId="49" xfId="1" applyNumberFormat="1" applyFont="1" applyBorder="1"/>
    <xf numFmtId="43" fontId="0" fillId="0" borderId="49" xfId="1" applyFont="1" applyBorder="1"/>
    <xf numFmtId="167" fontId="2" fillId="4" borderId="51" xfId="0" applyNumberFormat="1" applyFont="1" applyFill="1" applyBorder="1"/>
    <xf numFmtId="167" fontId="0" fillId="0" borderId="51" xfId="1" applyNumberFormat="1" applyFont="1" applyBorder="1"/>
    <xf numFmtId="167" fontId="0" fillId="0" borderId="49" xfId="0" applyNumberFormat="1" applyBorder="1"/>
    <xf numFmtId="167" fontId="2" fillId="4" borderId="49" xfId="0" applyNumberFormat="1" applyFont="1" applyFill="1" applyBorder="1"/>
    <xf numFmtId="167" fontId="2" fillId="4" borderId="50" xfId="0" applyNumberFormat="1" applyFont="1" applyFill="1" applyBorder="1"/>
    <xf numFmtId="167" fontId="4" fillId="0" borderId="49" xfId="0" applyNumberFormat="1" applyFont="1" applyBorder="1"/>
    <xf numFmtId="167" fontId="12" fillId="6" borderId="49" xfId="0" applyNumberFormat="1" applyFont="1" applyFill="1" applyBorder="1"/>
    <xf numFmtId="167" fontId="0" fillId="6" borderId="49" xfId="0" applyNumberFormat="1" applyFill="1" applyBorder="1"/>
    <xf numFmtId="167" fontId="2" fillId="6" borderId="51" xfId="0" applyNumberFormat="1" applyFont="1" applyFill="1" applyBorder="1"/>
    <xf numFmtId="167" fontId="2" fillId="5" borderId="51" xfId="0" applyNumberFormat="1" applyFont="1" applyFill="1" applyBorder="1"/>
    <xf numFmtId="167" fontId="2" fillId="6" borderId="49" xfId="0" applyNumberFormat="1" applyFont="1" applyFill="1" applyBorder="1"/>
    <xf numFmtId="167" fontId="2" fillId="4" borderId="52" xfId="0" applyNumberFormat="1" applyFont="1" applyFill="1" applyBorder="1"/>
    <xf numFmtId="43" fontId="6" fillId="7" borderId="10" xfId="0" applyNumberFormat="1" applyFont="1" applyFill="1" applyBorder="1"/>
    <xf numFmtId="43" fontId="0" fillId="0" borderId="5" xfId="1" applyFont="1" applyBorder="1" applyAlignment="1">
      <alignment horizontal="center"/>
    </xf>
    <xf numFmtId="43" fontId="0" fillId="0" borderId="6" xfId="1" applyFont="1" applyBorder="1" applyAlignment="1">
      <alignment horizontal="center"/>
    </xf>
    <xf numFmtId="43" fontId="0" fillId="0" borderId="16" xfId="1" applyFont="1" applyBorder="1" applyAlignment="1">
      <alignment horizontal="center"/>
    </xf>
    <xf numFmtId="43" fontId="6" fillId="6" borderId="10" xfId="0" applyNumberFormat="1" applyFont="1" applyFill="1" applyBorder="1" applyAlignment="1">
      <alignment horizontal="center"/>
    </xf>
    <xf numFmtId="1" fontId="0" fillId="0" borderId="26" xfId="0" applyNumberFormat="1" applyBorder="1"/>
    <xf numFmtId="167" fontId="0" fillId="0" borderId="53" xfId="0" applyNumberFormat="1" applyBorder="1" applyAlignment="1">
      <alignment horizontal="center"/>
    </xf>
    <xf numFmtId="167" fontId="0" fillId="4" borderId="16" xfId="0" applyNumberFormat="1" applyFill="1" applyBorder="1" applyAlignment="1">
      <alignment horizontal="center"/>
    </xf>
    <xf numFmtId="167" fontId="6" fillId="0" borderId="16" xfId="0" applyNumberFormat="1" applyFont="1" applyBorder="1" applyAlignment="1">
      <alignment horizontal="center"/>
    </xf>
    <xf numFmtId="167" fontId="9" fillId="4" borderId="11" xfId="0" applyNumberFormat="1" applyFont="1" applyFill="1" applyBorder="1" applyAlignment="1">
      <alignment horizontal="center"/>
    </xf>
    <xf numFmtId="0" fontId="9" fillId="0" borderId="54" xfId="0" applyFont="1" applyBorder="1" applyAlignment="1">
      <alignment horizontal="center"/>
    </xf>
    <xf numFmtId="43" fontId="6" fillId="6" borderId="55" xfId="0" applyNumberFormat="1" applyFont="1" applyFill="1" applyBorder="1"/>
    <xf numFmtId="43" fontId="6" fillId="6" borderId="6" xfId="0" applyNumberFormat="1" applyFont="1" applyFill="1" applyBorder="1"/>
    <xf numFmtId="43" fontId="6" fillId="6" borderId="6" xfId="0" applyNumberFormat="1" applyFont="1" applyFill="1" applyBorder="1" applyAlignment="1">
      <alignment horizontal="right"/>
    </xf>
    <xf numFmtId="167" fontId="6" fillId="6" borderId="6" xfId="0" applyNumberFormat="1" applyFont="1" applyFill="1" applyBorder="1"/>
    <xf numFmtId="2" fontId="6" fillId="6" borderId="6" xfId="0" applyNumberFormat="1" applyFont="1" applyFill="1" applyBorder="1"/>
    <xf numFmtId="1" fontId="6" fillId="6" borderId="6" xfId="0" applyNumberFormat="1" applyFont="1" applyFill="1" applyBorder="1"/>
    <xf numFmtId="43" fontId="6" fillId="7" borderId="11" xfId="0" applyNumberFormat="1" applyFont="1" applyFill="1" applyBorder="1"/>
    <xf numFmtId="0" fontId="9" fillId="0" borderId="56" xfId="0" applyFont="1" applyBorder="1" applyAlignment="1">
      <alignment horizontal="center"/>
    </xf>
    <xf numFmtId="0" fontId="0" fillId="0" borderId="57" xfId="0" applyBorder="1"/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1" fontId="0" fillId="0" borderId="60" xfId="0" applyNumberFormat="1" applyBorder="1"/>
    <xf numFmtId="167" fontId="6" fillId="6" borderId="61" xfId="0" applyNumberFormat="1" applyFont="1" applyFill="1" applyBorder="1"/>
    <xf numFmtId="10" fontId="0" fillId="0" borderId="0" xfId="2" applyNumberFormat="1" applyFont="1"/>
    <xf numFmtId="0" fontId="3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3"/>
  <sheetViews>
    <sheetView tabSelected="1" topLeftCell="C57" zoomScale="85" zoomScaleNormal="85" workbookViewId="0">
      <selection activeCell="I85" sqref="I85:N85"/>
    </sheetView>
  </sheetViews>
  <sheetFormatPr defaultColWidth="14.44140625" defaultRowHeight="14.4" x14ac:dyDescent="0.3"/>
  <cols>
    <col min="1" max="1" width="68.33203125" bestFit="1" customWidth="1"/>
    <col min="2" max="2" width="12.33203125" customWidth="1"/>
    <col min="3" max="3" width="12.109375" bestFit="1" customWidth="1"/>
    <col min="4" max="4" width="12.88671875" bestFit="1" customWidth="1"/>
    <col min="5" max="7" width="12" customWidth="1"/>
    <col min="8" max="8" width="14.88671875" bestFit="1" customWidth="1"/>
    <col min="9" max="9" width="66.6640625" bestFit="1" customWidth="1"/>
    <col min="10" max="10" width="12" customWidth="1"/>
    <col min="11" max="11" width="12.5546875" bestFit="1" customWidth="1"/>
    <col min="12" max="13" width="12.44140625" bestFit="1" customWidth="1"/>
    <col min="15" max="15" width="13.6640625" customWidth="1"/>
  </cols>
  <sheetData>
    <row r="1" spans="1:14" ht="15" customHeight="1" thickBot="1" x14ac:dyDescent="0.35">
      <c r="A1" s="178" t="s">
        <v>101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ht="14.25" customHeight="1" thickBot="1" x14ac:dyDescent="0.35">
      <c r="A2" s="180" t="s">
        <v>0</v>
      </c>
      <c r="B2" s="181"/>
      <c r="C2" s="181"/>
      <c r="D2" s="181"/>
      <c r="E2" s="182"/>
      <c r="F2" s="183"/>
      <c r="G2" s="10"/>
      <c r="H2" s="5"/>
      <c r="I2" s="184" t="s">
        <v>1</v>
      </c>
      <c r="J2" s="185"/>
      <c r="K2" s="185"/>
      <c r="L2" s="185"/>
      <c r="M2" s="186"/>
      <c r="N2" s="185"/>
    </row>
    <row r="3" spans="1:14" ht="12" customHeight="1" x14ac:dyDescent="0.3">
      <c r="A3" s="6" t="s">
        <v>83</v>
      </c>
      <c r="B3" s="7" t="s">
        <v>3</v>
      </c>
      <c r="C3" s="8" t="s">
        <v>4</v>
      </c>
      <c r="D3" s="8" t="s">
        <v>5</v>
      </c>
      <c r="E3" s="9" t="s">
        <v>84</v>
      </c>
      <c r="F3" s="173" t="s">
        <v>86</v>
      </c>
      <c r="G3" s="174" t="s">
        <v>142</v>
      </c>
      <c r="I3" s="11" t="s">
        <v>2</v>
      </c>
      <c r="J3" s="12" t="s">
        <v>3</v>
      </c>
      <c r="K3" s="13" t="s">
        <v>4</v>
      </c>
      <c r="L3" s="14" t="s">
        <v>6</v>
      </c>
      <c r="M3" s="15" t="s">
        <v>85</v>
      </c>
      <c r="N3" s="137" t="s">
        <v>86</v>
      </c>
    </row>
    <row r="4" spans="1:14" ht="12" customHeight="1" x14ac:dyDescent="0.3">
      <c r="A4" s="2" t="s">
        <v>7</v>
      </c>
      <c r="B4" s="16">
        <v>2038.5260000000001</v>
      </c>
      <c r="C4" s="16">
        <v>4019.2489999999998</v>
      </c>
      <c r="D4" s="16">
        <v>9382.1029999999992</v>
      </c>
      <c r="E4" s="16">
        <v>5288.009</v>
      </c>
      <c r="F4" s="16">
        <v>11432.8</v>
      </c>
      <c r="G4" s="175">
        <v>1074.5</v>
      </c>
      <c r="I4" s="18" t="s">
        <v>8</v>
      </c>
      <c r="J4" s="82">
        <v>204.70400000000001</v>
      </c>
      <c r="K4" s="82">
        <v>204.70400000000001</v>
      </c>
      <c r="L4" s="35">
        <v>201.05</v>
      </c>
      <c r="M4" s="35">
        <v>201.05</v>
      </c>
      <c r="N4" s="138">
        <v>201.05</v>
      </c>
    </row>
    <row r="5" spans="1:14" ht="12" customHeight="1" x14ac:dyDescent="0.3">
      <c r="A5" s="19" t="s">
        <v>87</v>
      </c>
      <c r="B5" s="16">
        <v>178.87100000000001</v>
      </c>
      <c r="C5" s="16">
        <v>77.578999999999994</v>
      </c>
      <c r="D5" s="16">
        <v>55.945000000000007</v>
      </c>
      <c r="E5" s="16">
        <v>-0.85299999999999998</v>
      </c>
      <c r="F5" s="16">
        <v>-2.7</v>
      </c>
      <c r="G5" s="16">
        <v>-0.1</v>
      </c>
      <c r="I5" s="18" t="s">
        <v>127</v>
      </c>
      <c r="J5" s="82">
        <v>7155.7020000000002</v>
      </c>
      <c r="K5" s="82">
        <v>7392.2939999999999</v>
      </c>
      <c r="L5" s="83">
        <v>7500.9290000000001</v>
      </c>
      <c r="M5" s="35">
        <v>7438.1940000000004</v>
      </c>
      <c r="N5" s="139">
        <v>8393.6</v>
      </c>
    </row>
    <row r="6" spans="1:14" ht="12" customHeight="1" x14ac:dyDescent="0.3">
      <c r="A6" s="20" t="s">
        <v>88</v>
      </c>
      <c r="B6" s="21">
        <f t="shared" ref="B6:G6" si="0">SUM(B4:B5)</f>
        <v>2217.3969999999999</v>
      </c>
      <c r="C6" s="21">
        <f t="shared" si="0"/>
        <v>4096.8279999999995</v>
      </c>
      <c r="D6" s="21">
        <f t="shared" si="0"/>
        <v>9438.0479999999989</v>
      </c>
      <c r="E6" s="21">
        <f t="shared" si="0"/>
        <v>5287.1559999999999</v>
      </c>
      <c r="F6" s="21">
        <f t="shared" si="0"/>
        <v>11430.099999999999</v>
      </c>
      <c r="G6" s="21">
        <f t="shared" si="0"/>
        <v>1074.4000000000001</v>
      </c>
      <c r="I6" s="97" t="s">
        <v>128</v>
      </c>
      <c r="J6" s="154">
        <v>0</v>
      </c>
      <c r="K6" s="154">
        <v>0</v>
      </c>
      <c r="L6" s="155">
        <v>0</v>
      </c>
      <c r="M6" s="156">
        <v>0</v>
      </c>
      <c r="N6" s="140">
        <v>0</v>
      </c>
    </row>
    <row r="7" spans="1:14" ht="12" customHeight="1" x14ac:dyDescent="0.3">
      <c r="A7" s="24" t="s">
        <v>11</v>
      </c>
      <c r="B7" s="25" t="s">
        <v>102</v>
      </c>
      <c r="C7" s="26">
        <f>C6/B6-1</f>
        <v>0.84758435228333018</v>
      </c>
      <c r="D7" s="26">
        <f>D6/C6-1</f>
        <v>1.3037452389995381</v>
      </c>
      <c r="E7" s="26">
        <f>E6/D6-1</f>
        <v>-0.4398040781314102</v>
      </c>
      <c r="F7" s="26">
        <f>F6/E6-1</f>
        <v>1.1618616889685112</v>
      </c>
      <c r="G7" s="26"/>
      <c r="I7" s="23" t="s">
        <v>10</v>
      </c>
      <c r="J7" s="85">
        <f>SUM(J4:J6)</f>
        <v>7360.4059999999999</v>
      </c>
      <c r="K7" s="85">
        <f>SUM(K4:K6)</f>
        <v>7596.9979999999996</v>
      </c>
      <c r="L7" s="85">
        <f t="shared" ref="L7:N7" si="1">SUM(L4:L6)</f>
        <v>7701.9790000000003</v>
      </c>
      <c r="M7" s="85">
        <f t="shared" si="1"/>
        <v>7639.2440000000006</v>
      </c>
      <c r="N7" s="141">
        <f t="shared" si="1"/>
        <v>8594.65</v>
      </c>
    </row>
    <row r="8" spans="1:14" ht="12" customHeight="1" x14ac:dyDescent="0.3">
      <c r="A8" s="24" t="s">
        <v>12</v>
      </c>
      <c r="B8" s="25" t="s">
        <v>102</v>
      </c>
      <c r="C8" s="25" t="s">
        <v>102</v>
      </c>
      <c r="D8" s="25" t="s">
        <v>102</v>
      </c>
      <c r="E8" s="27">
        <f>_xlfn.RRI(3,B6,E6)</f>
        <v>0.33595826062375855</v>
      </c>
      <c r="F8" s="27">
        <f>_xlfn.RRI(3,C6,F6)</f>
        <v>0.40777775897872881</v>
      </c>
      <c r="G8" s="27"/>
      <c r="I8" s="18" t="s">
        <v>13</v>
      </c>
      <c r="J8" s="83">
        <f t="shared" ref="J8:K8" si="2">J58</f>
        <v>1558.8009999999999</v>
      </c>
      <c r="K8" s="83">
        <f t="shared" si="2"/>
        <v>1651.277</v>
      </c>
      <c r="L8" s="83">
        <f>L58</f>
        <v>1282.0150000000001</v>
      </c>
      <c r="M8" s="83">
        <f t="shared" ref="M8" si="3">M58</f>
        <v>2450.5390000000002</v>
      </c>
      <c r="N8" s="142">
        <v>2636.5</v>
      </c>
    </row>
    <row r="9" spans="1:14" ht="12" customHeight="1" x14ac:dyDescent="0.3">
      <c r="A9" s="28" t="s">
        <v>14</v>
      </c>
      <c r="B9" s="29"/>
      <c r="C9" s="29"/>
      <c r="D9" s="29"/>
      <c r="E9" s="30"/>
      <c r="F9" s="30"/>
      <c r="G9" s="30"/>
      <c r="I9" s="18" t="s">
        <v>15</v>
      </c>
      <c r="J9" s="83">
        <f t="shared" ref="J9:K9" si="4">J46</f>
        <v>57.73</v>
      </c>
      <c r="K9" s="83">
        <f t="shared" si="4"/>
        <v>169.173</v>
      </c>
      <c r="L9" s="83">
        <f>L46</f>
        <v>194.072</v>
      </c>
      <c r="M9" s="83">
        <f t="shared" ref="M9:N9" si="5">M46</f>
        <v>165.1</v>
      </c>
      <c r="N9" s="142">
        <f t="shared" si="5"/>
        <v>415.8</v>
      </c>
    </row>
    <row r="10" spans="1:14" ht="12" customHeight="1" x14ac:dyDescent="0.3">
      <c r="A10" s="2" t="s">
        <v>89</v>
      </c>
      <c r="B10" s="31">
        <f t="shared" ref="B10:G10" si="6">SUM(B11:B15)</f>
        <v>1467.3519999999999</v>
      </c>
      <c r="C10" s="31">
        <f t="shared" si="6"/>
        <v>2803.4250000000002</v>
      </c>
      <c r="D10" s="31">
        <f t="shared" si="6"/>
        <v>7187.3870000000015</v>
      </c>
      <c r="E10" s="31">
        <f t="shared" si="6"/>
        <v>3681.8539999999998</v>
      </c>
      <c r="F10" s="31">
        <f t="shared" si="6"/>
        <v>8207.0999999999985</v>
      </c>
      <c r="G10" s="31">
        <f>SUM(G11:G15)</f>
        <v>636.39999999999964</v>
      </c>
      <c r="I10" s="23" t="s">
        <v>16</v>
      </c>
      <c r="J10" s="85">
        <f>J8+J9</f>
        <v>1616.5309999999999</v>
      </c>
      <c r="K10" s="85">
        <f>K8+K9</f>
        <v>1820.45</v>
      </c>
      <c r="L10" s="85">
        <f>L8+L9</f>
        <v>1476.087</v>
      </c>
      <c r="M10" s="85">
        <f t="shared" ref="M10:N10" si="7">M8+M9</f>
        <v>2615.6390000000001</v>
      </c>
      <c r="N10" s="141">
        <f t="shared" si="7"/>
        <v>3052.3</v>
      </c>
    </row>
    <row r="11" spans="1:14" ht="12" customHeight="1" x14ac:dyDescent="0.3">
      <c r="A11" s="19" t="s">
        <v>90</v>
      </c>
      <c r="B11" s="32">
        <v>3359.393</v>
      </c>
      <c r="C11" s="32">
        <v>1358.646</v>
      </c>
      <c r="D11" s="32">
        <v>1870.9869999999999</v>
      </c>
      <c r="E11" s="32">
        <v>4856.9210000000003</v>
      </c>
      <c r="F11" s="32">
        <v>4548.5</v>
      </c>
      <c r="G11" s="158">
        <v>2354.3000000000002</v>
      </c>
      <c r="I11" s="23" t="s">
        <v>17</v>
      </c>
      <c r="J11" s="85">
        <f>J7+J10</f>
        <v>8976.9369999999999</v>
      </c>
      <c r="K11" s="85">
        <f t="shared" ref="K11:N11" si="8">K7+K10</f>
        <v>9417.4480000000003</v>
      </c>
      <c r="L11" s="85">
        <f>L7+L10</f>
        <v>9178.0660000000007</v>
      </c>
      <c r="M11" s="85">
        <f>M7+M10</f>
        <v>10254.883000000002</v>
      </c>
      <c r="N11" s="141">
        <f t="shared" si="8"/>
        <v>11646.95</v>
      </c>
    </row>
    <row r="12" spans="1:14" ht="12" customHeight="1" x14ac:dyDescent="0.3">
      <c r="A12" s="19" t="s">
        <v>91</v>
      </c>
      <c r="B12" s="32">
        <v>2631.607</v>
      </c>
      <c r="C12" s="32">
        <v>3786.0099999999998</v>
      </c>
      <c r="D12" s="32">
        <v>4633.2250000000004</v>
      </c>
      <c r="E12" s="32">
        <v>5722.6109999999999</v>
      </c>
      <c r="F12" s="32">
        <v>7878.4</v>
      </c>
      <c r="G12" s="158">
        <v>1794.6</v>
      </c>
      <c r="I12" s="11"/>
      <c r="J12" s="86"/>
      <c r="K12" s="87"/>
      <c r="L12" s="88"/>
      <c r="M12" s="89"/>
      <c r="N12" s="143"/>
    </row>
    <row r="13" spans="1:14" ht="12" customHeight="1" x14ac:dyDescent="0.3">
      <c r="A13" s="19" t="s">
        <v>92</v>
      </c>
      <c r="B13" s="32">
        <v>-4917.71</v>
      </c>
      <c r="C13" s="32">
        <v>-2793.6459999999997</v>
      </c>
      <c r="D13" s="32">
        <v>165.11799999999999</v>
      </c>
      <c r="E13" s="32">
        <v>-7479.1809999999996</v>
      </c>
      <c r="F13" s="32">
        <v>-4219.8</v>
      </c>
      <c r="G13" s="158">
        <v>-3512.5</v>
      </c>
      <c r="I13" s="18"/>
      <c r="J13" s="87"/>
      <c r="K13" s="87"/>
      <c r="L13" s="88"/>
      <c r="M13" s="89"/>
      <c r="N13" s="143"/>
    </row>
    <row r="14" spans="1:14" ht="12" customHeight="1" x14ac:dyDescent="0.3">
      <c r="A14" s="19" t="s">
        <v>93</v>
      </c>
      <c r="B14" s="32">
        <v>37.527000000000001</v>
      </c>
      <c r="C14" s="32">
        <v>55.530999999999992</v>
      </c>
      <c r="D14" s="32">
        <v>60.846000000000004</v>
      </c>
      <c r="E14" s="32">
        <v>89.396000000000001</v>
      </c>
      <c r="F14" s="32">
        <v>0</v>
      </c>
      <c r="G14" s="32"/>
      <c r="I14" s="33" t="s">
        <v>18</v>
      </c>
      <c r="J14" s="90">
        <f>SUM(J15:J26)</f>
        <v>1567.5550000000001</v>
      </c>
      <c r="K14" s="90">
        <f>SUM(K15:K26)</f>
        <v>1187.29</v>
      </c>
      <c r="L14" s="90">
        <f>SUM(L15:L26)</f>
        <v>1301.2950000000001</v>
      </c>
      <c r="M14" s="90">
        <f>SUM(M15:M26)</f>
        <v>1966.5000000000002</v>
      </c>
      <c r="N14" s="144">
        <f>SUM(N15:N26)</f>
        <v>2053.1000000000004</v>
      </c>
    </row>
    <row r="15" spans="1:14" ht="12" customHeight="1" x14ac:dyDescent="0.3">
      <c r="A15" s="19" t="s">
        <v>94</v>
      </c>
      <c r="B15" s="32">
        <v>356.53499999999997</v>
      </c>
      <c r="C15" s="32">
        <v>396.88400000000001</v>
      </c>
      <c r="D15" s="32">
        <v>457.21099999999996</v>
      </c>
      <c r="E15" s="32">
        <v>492.10699999999997</v>
      </c>
      <c r="F15" s="32">
        <v>0</v>
      </c>
      <c r="G15" s="32"/>
      <c r="I15" s="18" t="s">
        <v>19</v>
      </c>
      <c r="J15" s="87">
        <v>402.13799999999998</v>
      </c>
      <c r="K15" s="87">
        <v>459.96100000000001</v>
      </c>
      <c r="L15" s="83">
        <v>700.06899999999996</v>
      </c>
      <c r="M15" s="35">
        <v>801.5</v>
      </c>
      <c r="N15" s="139">
        <v>839.1</v>
      </c>
    </row>
    <row r="16" spans="1:14" ht="12" customHeight="1" x14ac:dyDescent="0.3">
      <c r="A16" s="19"/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/>
      <c r="I16" s="18" t="s">
        <v>20</v>
      </c>
      <c r="J16" s="94">
        <v>0</v>
      </c>
      <c r="K16" s="87">
        <v>26.277000000000001</v>
      </c>
      <c r="L16" s="91">
        <v>1.323</v>
      </c>
      <c r="M16" s="32">
        <v>0</v>
      </c>
      <c r="N16" s="143">
        <v>0</v>
      </c>
    </row>
    <row r="17" spans="1:14" ht="12" customHeight="1" x14ac:dyDescent="0.3">
      <c r="A17" s="19" t="s">
        <v>95</v>
      </c>
      <c r="B17" s="32">
        <v>413.65100000000001</v>
      </c>
      <c r="C17" s="32">
        <v>517.56700000000001</v>
      </c>
      <c r="D17" s="32">
        <v>637.01800000000003</v>
      </c>
      <c r="E17" s="32">
        <v>730.529</v>
      </c>
      <c r="F17" s="32">
        <v>907.3</v>
      </c>
      <c r="G17" s="158">
        <v>201.8</v>
      </c>
      <c r="I17" s="18" t="s">
        <v>22</v>
      </c>
      <c r="J17" s="87">
        <v>394.17700000000002</v>
      </c>
      <c r="K17" s="87">
        <v>245.767</v>
      </c>
      <c r="L17" s="91">
        <v>281.596</v>
      </c>
      <c r="M17" s="32">
        <v>302.60000000000002</v>
      </c>
      <c r="N17" s="143">
        <v>264.39999999999998</v>
      </c>
    </row>
    <row r="18" spans="1:14" ht="12" customHeight="1" x14ac:dyDescent="0.3">
      <c r="A18" s="19" t="s">
        <v>96</v>
      </c>
      <c r="B18" s="32">
        <v>172.749</v>
      </c>
      <c r="C18" s="32">
        <v>175.797</v>
      </c>
      <c r="D18" s="32">
        <v>294.44299999999998</v>
      </c>
      <c r="E18" s="32">
        <v>298.41199999999998</v>
      </c>
      <c r="F18" s="32">
        <v>0</v>
      </c>
      <c r="G18" s="16"/>
      <c r="I18" s="18" t="s">
        <v>104</v>
      </c>
      <c r="J18" s="91">
        <v>1E-3</v>
      </c>
      <c r="K18" s="91">
        <v>1E-3</v>
      </c>
      <c r="L18" s="91">
        <v>1E-3</v>
      </c>
      <c r="M18" s="32">
        <v>0</v>
      </c>
      <c r="N18" s="143">
        <v>0</v>
      </c>
    </row>
    <row r="19" spans="1:14" ht="12" customHeight="1" x14ac:dyDescent="0.3">
      <c r="A19" s="19" t="s">
        <v>97</v>
      </c>
      <c r="B19" s="32">
        <v>253.30300000000003</v>
      </c>
      <c r="C19" s="32">
        <v>297.27800000000002</v>
      </c>
      <c r="D19" s="32">
        <v>353.39600000000002</v>
      </c>
      <c r="E19" s="32">
        <v>401.42500000000001</v>
      </c>
      <c r="F19" s="32">
        <v>1020.5</v>
      </c>
      <c r="G19" s="158">
        <v>160.9</v>
      </c>
      <c r="I19" s="18" t="s">
        <v>105</v>
      </c>
      <c r="J19" s="87">
        <v>8.6270000000000007</v>
      </c>
      <c r="K19" s="91">
        <v>6.5179999999999998</v>
      </c>
      <c r="L19" s="91">
        <v>2.5510000000000002</v>
      </c>
      <c r="M19" s="32">
        <v>1.4</v>
      </c>
      <c r="N19" s="143">
        <v>0.9</v>
      </c>
    </row>
    <row r="20" spans="1:14" ht="12" customHeight="1" x14ac:dyDescent="0.3">
      <c r="A20" s="2" t="s">
        <v>98</v>
      </c>
      <c r="B20" s="34">
        <f t="shared" ref="B20:G20" si="9">SUM(B10,B17:B19)</f>
        <v>2307.0549999999998</v>
      </c>
      <c r="C20" s="34">
        <f t="shared" si="9"/>
        <v>3794.067</v>
      </c>
      <c r="D20" s="34">
        <f t="shared" si="9"/>
        <v>8472.2440000000024</v>
      </c>
      <c r="E20" s="34">
        <f t="shared" si="9"/>
        <v>5112.22</v>
      </c>
      <c r="F20" s="34">
        <f t="shared" si="9"/>
        <v>10134.899999999998</v>
      </c>
      <c r="G20" s="34">
        <f>SUM(G10,G17:G19)</f>
        <v>999.09999999999957</v>
      </c>
      <c r="I20" s="18" t="s">
        <v>24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</row>
    <row r="21" spans="1:14" ht="12" customHeight="1" x14ac:dyDescent="0.3">
      <c r="A21" s="19"/>
      <c r="B21" s="32"/>
      <c r="C21" s="32"/>
      <c r="D21" s="32"/>
      <c r="E21" s="32"/>
      <c r="F21" s="35"/>
      <c r="G21" s="35"/>
      <c r="I21" s="18" t="s">
        <v>106</v>
      </c>
      <c r="J21" s="87">
        <v>123.389</v>
      </c>
      <c r="K21" s="87">
        <v>26.981999999999999</v>
      </c>
      <c r="L21" s="91">
        <v>29.384</v>
      </c>
      <c r="M21" s="32">
        <v>178</v>
      </c>
      <c r="N21" s="143">
        <v>221.4</v>
      </c>
    </row>
    <row r="22" spans="1:14" ht="12" customHeight="1" x14ac:dyDescent="0.3">
      <c r="A22" s="36" t="s">
        <v>21</v>
      </c>
      <c r="B22" s="21">
        <f t="shared" ref="B22:G22" si="10">B6-B20</f>
        <v>-89.657999999999902</v>
      </c>
      <c r="C22" s="21">
        <f t="shared" si="10"/>
        <v>302.76099999999951</v>
      </c>
      <c r="D22" s="21">
        <f t="shared" si="10"/>
        <v>965.80399999999645</v>
      </c>
      <c r="E22" s="21">
        <f t="shared" si="10"/>
        <v>174.93599999999969</v>
      </c>
      <c r="F22" s="21">
        <f t="shared" si="10"/>
        <v>1295.2000000000007</v>
      </c>
      <c r="G22" s="21">
        <f>G6-G20</f>
        <v>75.300000000000523</v>
      </c>
      <c r="I22" s="18" t="s">
        <v>27</v>
      </c>
      <c r="J22" s="87"/>
      <c r="K22" s="87"/>
      <c r="L22" s="91"/>
      <c r="M22" s="32"/>
      <c r="N22" s="143"/>
    </row>
    <row r="23" spans="1:14" ht="12" customHeight="1" x14ac:dyDescent="0.3">
      <c r="A23" s="24" t="s">
        <v>11</v>
      </c>
      <c r="B23" s="25" t="s">
        <v>102</v>
      </c>
      <c r="C23" s="27">
        <f>-(C22/B22-1)</f>
        <v>4.3768431149479117</v>
      </c>
      <c r="D23" s="27">
        <f>D22/C22-1</f>
        <v>2.1899881424621994</v>
      </c>
      <c r="E23" s="27">
        <f>E22/D22-1</f>
        <v>-0.81887008130013927</v>
      </c>
      <c r="F23" s="27">
        <f>F22/E22-1</f>
        <v>6.4038505510586896</v>
      </c>
      <c r="G23" s="27"/>
      <c r="I23" s="95" t="s">
        <v>107</v>
      </c>
      <c r="J23" s="87">
        <v>232.50899999999999</v>
      </c>
      <c r="K23" s="87">
        <v>0.36399999999999999</v>
      </c>
      <c r="L23" s="91">
        <v>0.29699999999999999</v>
      </c>
      <c r="M23" s="32">
        <v>350.2</v>
      </c>
      <c r="N23" s="143">
        <v>372.3</v>
      </c>
    </row>
    <row r="24" spans="1:14" ht="12" customHeight="1" x14ac:dyDescent="0.3">
      <c r="A24" s="24" t="s">
        <v>12</v>
      </c>
      <c r="B24" s="25" t="s">
        <v>102</v>
      </c>
      <c r="C24" s="25" t="s">
        <v>102</v>
      </c>
      <c r="D24" s="25" t="s">
        <v>102</v>
      </c>
      <c r="E24" s="25" t="s">
        <v>102</v>
      </c>
      <c r="F24" s="27">
        <f>_xlfn.RRI(3,C22,F22)</f>
        <v>0.62335050921211832</v>
      </c>
      <c r="G24" s="27"/>
      <c r="I24" s="95" t="s">
        <v>125</v>
      </c>
      <c r="J24" s="82">
        <v>0.10100000000000001</v>
      </c>
      <c r="K24" s="94">
        <v>0</v>
      </c>
      <c r="L24" s="94">
        <v>0</v>
      </c>
      <c r="M24" s="32">
        <v>8.1999999999999993</v>
      </c>
      <c r="N24" s="94">
        <v>0</v>
      </c>
    </row>
    <row r="25" spans="1:14" ht="12" customHeight="1" x14ac:dyDescent="0.3">
      <c r="A25" s="36" t="s">
        <v>23</v>
      </c>
      <c r="B25" s="37">
        <f t="shared" ref="B25:G25" si="11">B22/B6</f>
        <v>-4.0433896140384382E-2</v>
      </c>
      <c r="C25" s="37">
        <f t="shared" si="11"/>
        <v>7.390132072911032E-2</v>
      </c>
      <c r="D25" s="37">
        <f t="shared" si="11"/>
        <v>0.10233090571270634</v>
      </c>
      <c r="E25" s="37">
        <f t="shared" si="11"/>
        <v>3.3086975303925154E-2</v>
      </c>
      <c r="F25" s="37">
        <f t="shared" si="11"/>
        <v>0.1133148441395964</v>
      </c>
      <c r="G25" s="37">
        <f t="shared" si="11"/>
        <v>7.0085629188384693E-2</v>
      </c>
      <c r="I25" s="95" t="s">
        <v>29</v>
      </c>
      <c r="J25" s="82">
        <v>217.67099999999999</v>
      </c>
      <c r="K25" s="82">
        <v>229.97499999999999</v>
      </c>
      <c r="L25" s="83">
        <v>251.28</v>
      </c>
      <c r="M25" s="35">
        <v>292.39999999999998</v>
      </c>
      <c r="N25" s="139">
        <v>337.6</v>
      </c>
    </row>
    <row r="26" spans="1:14" ht="12" customHeight="1" x14ac:dyDescent="0.3">
      <c r="A26" s="19" t="s">
        <v>25</v>
      </c>
      <c r="B26" s="16">
        <v>83.75800000000001</v>
      </c>
      <c r="C26" s="16">
        <v>84.149000000000001</v>
      </c>
      <c r="D26" s="16">
        <v>94.769000000000005</v>
      </c>
      <c r="E26" s="16">
        <v>126.27000000000001</v>
      </c>
      <c r="F26" s="16">
        <v>133.1</v>
      </c>
      <c r="G26" s="158">
        <v>32.799999999999997</v>
      </c>
      <c r="I26" s="18" t="s">
        <v>103</v>
      </c>
      <c r="J26" s="87">
        <v>188.94200000000001</v>
      </c>
      <c r="K26" s="87">
        <v>191.44499999999999</v>
      </c>
      <c r="L26" s="91">
        <v>34.793999999999997</v>
      </c>
      <c r="M26" s="84">
        <v>32.200000000000003</v>
      </c>
      <c r="N26" s="139">
        <v>17.399999999999999</v>
      </c>
    </row>
    <row r="27" spans="1:14" ht="12" customHeight="1" x14ac:dyDescent="0.3">
      <c r="A27" s="19" t="s">
        <v>26</v>
      </c>
      <c r="B27" s="16">
        <v>48.838000000000001</v>
      </c>
      <c r="C27" s="16">
        <v>30.423000000000002</v>
      </c>
      <c r="D27" s="16">
        <v>20.544999999999998</v>
      </c>
      <c r="E27" s="16">
        <v>24.109000000000002</v>
      </c>
      <c r="F27" s="16">
        <v>16.7</v>
      </c>
      <c r="G27" s="158">
        <v>2.7</v>
      </c>
      <c r="I27" s="23" t="s">
        <v>34</v>
      </c>
      <c r="J27" s="90">
        <f>SUM(J28:J41)</f>
        <v>17071.876</v>
      </c>
      <c r="K27" s="90">
        <f>SUM(K28:K41)</f>
        <v>20596.496999999996</v>
      </c>
      <c r="L27" s="90">
        <f>SUM(L28:L41)</f>
        <v>22718.247999999996</v>
      </c>
      <c r="M27" s="90">
        <f>SUM(M28:M41)</f>
        <v>32909.733999999997</v>
      </c>
      <c r="N27" s="145">
        <f>SUM(N28:N41)</f>
        <v>40783.799999999996</v>
      </c>
    </row>
    <row r="28" spans="1:14" ht="12" customHeight="1" x14ac:dyDescent="0.3">
      <c r="A28" s="19" t="s">
        <v>9</v>
      </c>
      <c r="B28" s="16">
        <v>118.51199999999999</v>
      </c>
      <c r="C28" s="16">
        <v>155.03899999999999</v>
      </c>
      <c r="D28" s="16">
        <v>227.2</v>
      </c>
      <c r="E28" s="16">
        <v>287.33499999999998</v>
      </c>
      <c r="F28" s="16">
        <v>444.2</v>
      </c>
      <c r="G28" s="158">
        <v>123.1</v>
      </c>
      <c r="I28" s="18" t="s">
        <v>35</v>
      </c>
      <c r="J28" s="82">
        <v>12470.013000000001</v>
      </c>
      <c r="K28" s="82">
        <v>15289.266</v>
      </c>
      <c r="L28" s="83">
        <v>15262.92</v>
      </c>
      <c r="M28" s="35">
        <v>22845.215</v>
      </c>
      <c r="N28" s="139">
        <v>27013.9</v>
      </c>
    </row>
    <row r="29" spans="1:14" ht="12" customHeight="1" x14ac:dyDescent="0.3">
      <c r="A29" s="19" t="s">
        <v>99</v>
      </c>
      <c r="B29" s="16">
        <v>42.589999999999996</v>
      </c>
      <c r="C29" s="16">
        <v>0</v>
      </c>
      <c r="D29" s="16">
        <v>0</v>
      </c>
      <c r="E29" s="16">
        <v>50.003</v>
      </c>
      <c r="F29" s="16">
        <v>0</v>
      </c>
      <c r="G29" s="16"/>
      <c r="I29" s="18" t="s">
        <v>27</v>
      </c>
      <c r="J29" s="87"/>
      <c r="K29" s="87"/>
      <c r="L29" s="91"/>
      <c r="M29" s="32"/>
      <c r="N29" s="143"/>
    </row>
    <row r="30" spans="1:14" ht="12" customHeight="1" x14ac:dyDescent="0.3">
      <c r="A30" s="36" t="s">
        <v>28</v>
      </c>
      <c r="B30" s="38">
        <f t="shared" ref="B30:G30" si="12">B22-B26-B27-B29+B28</f>
        <v>-146.33199999999988</v>
      </c>
      <c r="C30" s="38">
        <f t="shared" si="12"/>
        <v>343.2279999999995</v>
      </c>
      <c r="D30" s="38">
        <f t="shared" si="12"/>
        <v>1077.6899999999964</v>
      </c>
      <c r="E30" s="38">
        <f t="shared" si="12"/>
        <v>261.88899999999967</v>
      </c>
      <c r="F30" s="38">
        <f t="shared" si="12"/>
        <v>1589.6000000000008</v>
      </c>
      <c r="G30" s="38">
        <f t="shared" si="12"/>
        <v>162.90000000000052</v>
      </c>
      <c r="I30" s="18" t="s">
        <v>109</v>
      </c>
      <c r="J30" s="82">
        <v>433.85300000000001</v>
      </c>
      <c r="K30" s="82">
        <v>340.01100000000002</v>
      </c>
      <c r="L30" s="83">
        <v>274.30099999999999</v>
      </c>
      <c r="M30" s="35">
        <v>251.3</v>
      </c>
      <c r="N30" s="139">
        <v>171.8</v>
      </c>
    </row>
    <row r="31" spans="1:14" ht="12" customHeight="1" x14ac:dyDescent="0.3">
      <c r="A31" s="19" t="s">
        <v>30</v>
      </c>
      <c r="B31" s="16">
        <v>0</v>
      </c>
      <c r="C31" s="16">
        <v>68.405000000000001</v>
      </c>
      <c r="D31" s="16">
        <v>89.347999999999999</v>
      </c>
      <c r="E31" s="16">
        <v>77.569000000000003</v>
      </c>
      <c r="F31" s="39" t="s">
        <v>102</v>
      </c>
      <c r="G31" s="39"/>
      <c r="H31" t="s">
        <v>59</v>
      </c>
      <c r="I31" s="18" t="s">
        <v>108</v>
      </c>
      <c r="J31" s="82">
        <v>716.18700000000001</v>
      </c>
      <c r="K31" s="82">
        <v>671.78800000000001</v>
      </c>
      <c r="L31" s="83">
        <v>805.07399999999996</v>
      </c>
      <c r="M31" s="35">
        <v>1448.3309999999999</v>
      </c>
      <c r="N31" s="139">
        <v>2315</v>
      </c>
    </row>
    <row r="32" spans="1:14" ht="12" customHeight="1" x14ac:dyDescent="0.3">
      <c r="A32" s="19" t="s">
        <v>31</v>
      </c>
      <c r="B32" s="16">
        <v>-75.907000000000011</v>
      </c>
      <c r="C32" s="16">
        <v>-3.9539999999999997</v>
      </c>
      <c r="D32" s="16">
        <v>154.38399999999999</v>
      </c>
      <c r="E32" s="16">
        <v>1.9379999999999999</v>
      </c>
      <c r="F32" s="39" t="s">
        <v>102</v>
      </c>
      <c r="G32" s="39"/>
      <c r="I32" s="18" t="s">
        <v>110</v>
      </c>
      <c r="J32" s="82">
        <v>248.17</v>
      </c>
      <c r="K32" s="82">
        <v>344.94900000000001</v>
      </c>
      <c r="L32" s="83">
        <v>400.53899999999999</v>
      </c>
      <c r="M32" s="84">
        <v>399.209</v>
      </c>
      <c r="N32" s="139">
        <v>427.1</v>
      </c>
    </row>
    <row r="33" spans="1:16" ht="12" customHeight="1" x14ac:dyDescent="0.3">
      <c r="A33" s="2" t="s">
        <v>32</v>
      </c>
      <c r="B33" s="40">
        <f>SUM(B31:B32)</f>
        <v>-75.907000000000011</v>
      </c>
      <c r="C33" s="40">
        <f t="shared" ref="C33:D33" si="13">SUM(C31:C32)</f>
        <v>64.451000000000008</v>
      </c>
      <c r="D33" s="40">
        <f t="shared" si="13"/>
        <v>243.73199999999997</v>
      </c>
      <c r="E33" s="40">
        <f>SUM(E31:E32)</f>
        <v>79.507000000000005</v>
      </c>
      <c r="F33" s="16">
        <v>410.6</v>
      </c>
      <c r="G33" s="45">
        <v>32</v>
      </c>
      <c r="I33" s="18" t="s">
        <v>111</v>
      </c>
      <c r="J33" s="82">
        <v>779.76700000000005</v>
      </c>
      <c r="K33" s="82">
        <v>1154.0239999999999</v>
      </c>
      <c r="L33" s="83">
        <v>1139.9290000000001</v>
      </c>
      <c r="M33" s="35">
        <v>1609.4</v>
      </c>
      <c r="N33" s="139">
        <v>3254.8</v>
      </c>
    </row>
    <row r="34" spans="1:16" ht="12" customHeight="1" x14ac:dyDescent="0.3">
      <c r="A34" s="24" t="s">
        <v>33</v>
      </c>
      <c r="B34" s="41">
        <f t="shared" ref="B34:G34" si="14">B33/B30</f>
        <v>0.51873137796244206</v>
      </c>
      <c r="C34" s="41">
        <f t="shared" si="14"/>
        <v>0.18777896908177685</v>
      </c>
      <c r="D34" s="41">
        <f t="shared" si="14"/>
        <v>0.22616151212315302</v>
      </c>
      <c r="E34" s="41">
        <f t="shared" si="14"/>
        <v>0.3035904524435929</v>
      </c>
      <c r="F34" s="41">
        <f t="shared" si="14"/>
        <v>0.25830397584297926</v>
      </c>
      <c r="G34" s="41">
        <f t="shared" si="14"/>
        <v>0.19643953345610743</v>
      </c>
      <c r="I34" s="18" t="s">
        <v>112</v>
      </c>
      <c r="J34" s="87">
        <v>491.35599999999999</v>
      </c>
      <c r="K34" s="87">
        <v>408.572</v>
      </c>
      <c r="L34" s="91">
        <v>1168.143</v>
      </c>
      <c r="M34" s="32">
        <v>2324.6</v>
      </c>
      <c r="N34" s="143">
        <v>2996</v>
      </c>
    </row>
    <row r="35" spans="1:16" ht="12" customHeight="1" x14ac:dyDescent="0.3">
      <c r="A35" s="36" t="s">
        <v>38</v>
      </c>
      <c r="B35" s="21">
        <f t="shared" ref="B35:G35" si="15">B30-B33</f>
        <v>-70.424999999999869</v>
      </c>
      <c r="C35" s="21">
        <f t="shared" si="15"/>
        <v>278.77699999999948</v>
      </c>
      <c r="D35" s="21">
        <f t="shared" si="15"/>
        <v>833.95799999999645</v>
      </c>
      <c r="E35" s="21">
        <f t="shared" si="15"/>
        <v>182.38199999999966</v>
      </c>
      <c r="F35" s="21">
        <f t="shared" si="15"/>
        <v>1179.0000000000009</v>
      </c>
      <c r="G35" s="21">
        <f>G30-G33</f>
        <v>130.90000000000052</v>
      </c>
      <c r="I35" s="18" t="s">
        <v>113</v>
      </c>
      <c r="J35" s="87">
        <v>0</v>
      </c>
      <c r="K35" s="87">
        <v>0</v>
      </c>
      <c r="L35" s="91">
        <v>90.79</v>
      </c>
      <c r="M35" s="32">
        <v>175.7</v>
      </c>
      <c r="N35" s="143">
        <v>50.2</v>
      </c>
    </row>
    <row r="36" spans="1:16" ht="12" customHeight="1" x14ac:dyDescent="0.3">
      <c r="A36" s="36" t="s">
        <v>36</v>
      </c>
      <c r="B36" s="37">
        <f t="shared" ref="B36:G36" si="16">B35/B6</f>
        <v>-3.1760212537493226E-2</v>
      </c>
      <c r="C36" s="37">
        <f t="shared" si="16"/>
        <v>6.8047035413739479E-2</v>
      </c>
      <c r="D36" s="37">
        <f t="shared" si="16"/>
        <v>8.8361279790057923E-2</v>
      </c>
      <c r="E36" s="37">
        <f t="shared" si="16"/>
        <v>3.4495293878221048E-2</v>
      </c>
      <c r="F36" s="37">
        <f t="shared" si="16"/>
        <v>0.1031487038608587</v>
      </c>
      <c r="G36" s="37">
        <f>G35/G6</f>
        <v>0.12183544303797515</v>
      </c>
      <c r="I36" s="18" t="s">
        <v>114</v>
      </c>
      <c r="J36" s="87">
        <v>470.85300000000001</v>
      </c>
      <c r="K36" s="82">
        <v>454.86799999999999</v>
      </c>
      <c r="L36" s="83">
        <v>434.76100000000002</v>
      </c>
      <c r="M36" s="35">
        <v>337.2</v>
      </c>
      <c r="N36" s="139">
        <v>439.7</v>
      </c>
    </row>
    <row r="37" spans="1:16" ht="12" customHeight="1" x14ac:dyDescent="0.3">
      <c r="A37" s="24" t="s">
        <v>12</v>
      </c>
      <c r="B37" s="25" t="s">
        <v>102</v>
      </c>
      <c r="C37" s="25" t="s">
        <v>102</v>
      </c>
      <c r="D37" s="25" t="s">
        <v>102</v>
      </c>
      <c r="E37" s="25" t="s">
        <v>102</v>
      </c>
      <c r="F37" s="27">
        <f>_xlfn.RRI(3,C35,F35)</f>
        <v>0.61715738470749759</v>
      </c>
      <c r="G37" s="27"/>
      <c r="I37" s="18" t="s">
        <v>118</v>
      </c>
      <c r="J37" s="87">
        <v>81.668999999999997</v>
      </c>
      <c r="K37" s="82">
        <v>79.495000000000005</v>
      </c>
      <c r="L37" s="83">
        <v>205.816</v>
      </c>
      <c r="M37" s="35">
        <v>234.3</v>
      </c>
      <c r="N37" s="139">
        <v>273.89999999999998</v>
      </c>
    </row>
    <row r="38" spans="1:16" ht="12" customHeight="1" x14ac:dyDescent="0.3">
      <c r="A38" s="36" t="s">
        <v>41</v>
      </c>
      <c r="B38" s="42">
        <v>-65.567999999999998</v>
      </c>
      <c r="C38" s="42">
        <v>287.76799999999997</v>
      </c>
      <c r="D38" s="42">
        <v>842.43500000000006</v>
      </c>
      <c r="E38" s="42">
        <v>188.577</v>
      </c>
      <c r="F38" s="42">
        <v>1205.5999999999999</v>
      </c>
      <c r="G38" s="42">
        <v>136.5</v>
      </c>
      <c r="I38" s="18" t="s">
        <v>37</v>
      </c>
      <c r="J38" s="82"/>
      <c r="K38" s="82"/>
      <c r="L38" s="83"/>
      <c r="M38" s="35"/>
      <c r="N38" s="139"/>
    </row>
    <row r="39" spans="1:16" ht="12" customHeight="1" x14ac:dyDescent="0.3">
      <c r="A39" s="19"/>
      <c r="B39" s="43"/>
      <c r="C39" s="19"/>
      <c r="D39" s="19"/>
      <c r="E39" s="19"/>
      <c r="F39" s="19"/>
      <c r="G39" s="19"/>
      <c r="I39" s="18" t="s">
        <v>115</v>
      </c>
      <c r="J39" s="82">
        <v>703.68600000000004</v>
      </c>
      <c r="K39" s="82">
        <v>879.58799999999997</v>
      </c>
      <c r="L39" s="83">
        <v>1530.8889999999999</v>
      </c>
      <c r="M39" s="35">
        <v>1006.679</v>
      </c>
      <c r="N39" s="139">
        <v>1311.1</v>
      </c>
    </row>
    <row r="40" spans="1:16" ht="12" customHeight="1" x14ac:dyDescent="0.3">
      <c r="A40" s="2" t="s">
        <v>43</v>
      </c>
      <c r="B40" s="135">
        <v>-0.64</v>
      </c>
      <c r="C40" s="2">
        <v>2.81</v>
      </c>
      <c r="D40" s="2">
        <v>8.33</v>
      </c>
      <c r="E40" s="2">
        <v>1.88</v>
      </c>
      <c r="F40" s="2">
        <v>11.99</v>
      </c>
      <c r="G40" s="2">
        <v>1.36</v>
      </c>
      <c r="I40" s="18" t="s">
        <v>116</v>
      </c>
      <c r="J40" s="82">
        <v>243.91800000000001</v>
      </c>
      <c r="K40" s="82">
        <v>178.64099999999999</v>
      </c>
      <c r="L40" s="83">
        <v>245.857</v>
      </c>
      <c r="M40" s="35">
        <v>398.3</v>
      </c>
      <c r="N40" s="143">
        <v>446.5</v>
      </c>
    </row>
    <row r="41" spans="1:16" ht="12" customHeight="1" x14ac:dyDescent="0.3">
      <c r="A41" s="2" t="s">
        <v>100</v>
      </c>
      <c r="B41" s="135">
        <v>-0.64</v>
      </c>
      <c r="C41" s="2">
        <v>2.81</v>
      </c>
      <c r="D41" s="2">
        <v>8.33</v>
      </c>
      <c r="E41" s="2">
        <v>1.88</v>
      </c>
      <c r="F41" s="2">
        <v>11.99</v>
      </c>
      <c r="G41" s="2">
        <v>1.36</v>
      </c>
      <c r="I41" s="18" t="s">
        <v>117</v>
      </c>
      <c r="J41" s="87">
        <v>432.404</v>
      </c>
      <c r="K41" s="87">
        <v>795.29499999999996</v>
      </c>
      <c r="L41" s="91">
        <v>1159.229</v>
      </c>
      <c r="M41" s="32">
        <v>1879.5</v>
      </c>
      <c r="N41" s="143">
        <v>2083.8000000000002</v>
      </c>
    </row>
    <row r="42" spans="1:16" ht="12" customHeight="1" x14ac:dyDescent="0.3">
      <c r="A42" s="44"/>
      <c r="F42" s="45"/>
      <c r="G42" s="45"/>
      <c r="I42" s="18"/>
      <c r="J42" s="87"/>
      <c r="K42" s="87"/>
      <c r="L42" s="91"/>
      <c r="M42" s="32"/>
      <c r="N42" s="146"/>
    </row>
    <row r="43" spans="1:16" ht="12" customHeight="1" thickBot="1" x14ac:dyDescent="0.35">
      <c r="A43" s="46"/>
      <c r="C43" s="1"/>
      <c r="D43" s="1"/>
      <c r="E43" s="1"/>
      <c r="F43" s="47"/>
      <c r="G43" s="47"/>
      <c r="I43" s="48"/>
      <c r="J43" s="87"/>
      <c r="K43" s="87"/>
      <c r="L43" s="88"/>
      <c r="M43" s="89"/>
      <c r="N43" s="147"/>
    </row>
    <row r="44" spans="1:16" ht="12" customHeight="1" x14ac:dyDescent="0.3">
      <c r="A44" s="114" t="s">
        <v>134</v>
      </c>
      <c r="B44" s="115" t="s">
        <v>3</v>
      </c>
      <c r="C44" s="116" t="s">
        <v>4</v>
      </c>
      <c r="D44" s="117" t="s">
        <v>6</v>
      </c>
      <c r="E44" s="116" t="s">
        <v>85</v>
      </c>
      <c r="F44" s="118" t="s">
        <v>86</v>
      </c>
      <c r="G44" s="118"/>
      <c r="I44" s="23" t="s">
        <v>39</v>
      </c>
      <c r="J44" s="90">
        <f>SUM(J45:J55)</f>
        <v>9168.5640000000003</v>
      </c>
      <c r="K44" s="90">
        <f>SUM(K45:K55)</f>
        <v>12218.093000000001</v>
      </c>
      <c r="L44" s="90">
        <f>SUM(L45:L55)</f>
        <v>14420.496000000001</v>
      </c>
      <c r="M44" s="90">
        <f>SUM(M45:M55)</f>
        <v>24019.882999999998</v>
      </c>
      <c r="N44" s="145">
        <f>SUM(N45:N55)</f>
        <v>30716.399999999998</v>
      </c>
      <c r="P44" s="102"/>
    </row>
    <row r="45" spans="1:16" ht="12" customHeight="1" x14ac:dyDescent="0.3">
      <c r="A45" s="50" t="s">
        <v>45</v>
      </c>
      <c r="B45" s="120">
        <v>1536.8420000000001</v>
      </c>
      <c r="C45" s="87">
        <f>B50</f>
        <v>1271.123</v>
      </c>
      <c r="D45" s="87">
        <f>C50</f>
        <v>1562.5970000000002</v>
      </c>
      <c r="E45" s="87">
        <f t="shared" ref="E45:F45" si="17">D50</f>
        <v>2308.0720000000001</v>
      </c>
      <c r="F45" s="87">
        <f t="shared" si="17"/>
        <v>3933.9719999999998</v>
      </c>
      <c r="G45" s="159"/>
      <c r="I45" s="52" t="s">
        <v>40</v>
      </c>
      <c r="J45" s="87"/>
      <c r="K45" s="87"/>
      <c r="L45" s="88"/>
      <c r="M45" s="89"/>
      <c r="N45" s="143"/>
      <c r="P45" s="102"/>
    </row>
    <row r="46" spans="1:16" ht="12" customHeight="1" x14ac:dyDescent="0.3">
      <c r="A46" s="51" t="s">
        <v>46</v>
      </c>
      <c r="B46" s="119">
        <v>-853.28599999999994</v>
      </c>
      <c r="C46" s="120">
        <v>115.858</v>
      </c>
      <c r="D46" s="119">
        <v>2123.0680000000002</v>
      </c>
      <c r="E46" s="91">
        <v>2335.1</v>
      </c>
      <c r="F46" s="32">
        <v>3421.9</v>
      </c>
      <c r="G46" s="159"/>
      <c r="I46" s="52" t="s">
        <v>119</v>
      </c>
      <c r="J46" s="87">
        <v>57.73</v>
      </c>
      <c r="K46" s="87">
        <v>169.173</v>
      </c>
      <c r="L46" s="91">
        <v>194.072</v>
      </c>
      <c r="M46" s="32">
        <v>165.1</v>
      </c>
      <c r="N46" s="143">
        <v>415.8</v>
      </c>
      <c r="P46" s="102"/>
    </row>
    <row r="47" spans="1:16" ht="12" customHeight="1" x14ac:dyDescent="0.3">
      <c r="A47" s="51" t="s">
        <v>48</v>
      </c>
      <c r="B47" s="119">
        <v>-224.63900000000001</v>
      </c>
      <c r="C47" s="122">
        <v>319.37700000000001</v>
      </c>
      <c r="D47" s="119">
        <v>-99.123000000000005</v>
      </c>
      <c r="E47" s="91">
        <v>-1231.7</v>
      </c>
      <c r="F47" s="32">
        <v>-523.20000000000005</v>
      </c>
      <c r="G47" s="159"/>
      <c r="I47" s="52" t="s">
        <v>42</v>
      </c>
      <c r="J47" s="87">
        <v>28.899000000000001</v>
      </c>
      <c r="K47" s="87">
        <v>13.474</v>
      </c>
      <c r="L47" s="91">
        <v>5.1829999999999998</v>
      </c>
      <c r="M47" s="32">
        <v>45.7</v>
      </c>
      <c r="N47" s="139">
        <v>65.400000000000006</v>
      </c>
    </row>
    <row r="48" spans="1:16" ht="12" customHeight="1" x14ac:dyDescent="0.3">
      <c r="A48" s="51" t="s">
        <v>50</v>
      </c>
      <c r="B48" s="119">
        <v>812.20600000000002</v>
      </c>
      <c r="C48" s="122">
        <v>-143.761</v>
      </c>
      <c r="D48" s="119">
        <v>-1278.47</v>
      </c>
      <c r="E48" s="91">
        <v>522.5</v>
      </c>
      <c r="F48" s="32">
        <v>-581.79999999999995</v>
      </c>
      <c r="G48" s="159"/>
      <c r="I48" s="52" t="s">
        <v>120</v>
      </c>
      <c r="J48" s="82"/>
      <c r="K48" s="82"/>
      <c r="L48" s="83"/>
      <c r="M48" s="35"/>
      <c r="N48" s="143"/>
    </row>
    <row r="49" spans="1:14" ht="12" customHeight="1" x14ac:dyDescent="0.3">
      <c r="A49" s="50" t="s">
        <v>52</v>
      </c>
      <c r="B49" s="119">
        <f>B46+B47+B48</f>
        <v>-265.71899999999994</v>
      </c>
      <c r="C49" s="119">
        <f t="shared" ref="C49:F49" si="18">C46+C47+C48</f>
        <v>291.47400000000005</v>
      </c>
      <c r="D49" s="119">
        <f t="shared" si="18"/>
        <v>745.47500000000014</v>
      </c>
      <c r="E49" s="119">
        <f t="shared" si="18"/>
        <v>1625.8999999999999</v>
      </c>
      <c r="F49" s="119">
        <f t="shared" si="18"/>
        <v>2316.8999999999996</v>
      </c>
      <c r="G49" s="159"/>
      <c r="I49" s="101" t="s">
        <v>131</v>
      </c>
      <c r="J49" s="87">
        <v>15.093999999999999</v>
      </c>
      <c r="K49" s="87">
        <v>60.823</v>
      </c>
      <c r="L49" s="91">
        <v>81.274000000000001</v>
      </c>
      <c r="M49" s="32">
        <v>175.8</v>
      </c>
      <c r="N49" s="143">
        <v>317</v>
      </c>
    </row>
    <row r="50" spans="1:14" ht="12" customHeight="1" thickBot="1" x14ac:dyDescent="0.35">
      <c r="A50" s="53" t="s">
        <v>53</v>
      </c>
      <c r="B50" s="121">
        <f>B45+B49</f>
        <v>1271.123</v>
      </c>
      <c r="C50" s="121">
        <f t="shared" ref="C50:F50" si="19">C45+C49</f>
        <v>1562.5970000000002</v>
      </c>
      <c r="D50" s="121">
        <f t="shared" si="19"/>
        <v>2308.0720000000001</v>
      </c>
      <c r="E50" s="121">
        <f t="shared" si="19"/>
        <v>3933.9719999999998</v>
      </c>
      <c r="F50" s="121">
        <f t="shared" si="19"/>
        <v>6250.8719999999994</v>
      </c>
      <c r="G50" s="159"/>
      <c r="I50" s="101" t="s">
        <v>132</v>
      </c>
      <c r="J50" s="87">
        <v>258.505</v>
      </c>
      <c r="K50" s="87">
        <v>312.31299999999999</v>
      </c>
      <c r="L50" s="91">
        <v>450.07900000000001</v>
      </c>
      <c r="M50" s="32">
        <v>561.9</v>
      </c>
      <c r="N50" s="143">
        <v>501.6</v>
      </c>
    </row>
    <row r="51" spans="1:14" ht="12" customHeight="1" thickBot="1" x14ac:dyDescent="0.35">
      <c r="A51" s="54"/>
      <c r="B51" s="3"/>
      <c r="C51" s="3"/>
      <c r="D51" s="55"/>
      <c r="F51" s="19"/>
      <c r="G51" s="19"/>
      <c r="I51" s="52" t="s">
        <v>121</v>
      </c>
      <c r="J51" s="87">
        <v>281.49700000000001</v>
      </c>
      <c r="K51" s="87">
        <v>486.87400000000002</v>
      </c>
      <c r="L51" s="91">
        <v>699.38400000000001</v>
      </c>
      <c r="M51" s="32">
        <v>647.9</v>
      </c>
      <c r="N51" s="143">
        <v>633.29999999999995</v>
      </c>
    </row>
    <row r="52" spans="1:14" ht="12" customHeight="1" thickBot="1" x14ac:dyDescent="0.35">
      <c r="A52" s="123" t="s">
        <v>135</v>
      </c>
      <c r="B52" s="57" t="s">
        <v>3</v>
      </c>
      <c r="C52" s="49" t="s">
        <v>4</v>
      </c>
      <c r="D52" s="56" t="s">
        <v>6</v>
      </c>
      <c r="E52" s="57" t="s">
        <v>85</v>
      </c>
      <c r="F52" s="58" t="s">
        <v>86</v>
      </c>
      <c r="G52" s="58"/>
      <c r="I52" s="52" t="s">
        <v>44</v>
      </c>
      <c r="J52" s="87"/>
      <c r="K52" s="87"/>
      <c r="L52" s="91"/>
      <c r="M52" s="32"/>
      <c r="N52" s="139"/>
    </row>
    <row r="53" spans="1:14" ht="12" customHeight="1" x14ac:dyDescent="0.3">
      <c r="A53" s="125" t="s">
        <v>55</v>
      </c>
      <c r="B53" s="124">
        <f>B46</f>
        <v>-853.28599999999994</v>
      </c>
      <c r="C53" s="124">
        <f t="shared" ref="C53:F53" si="20">C46</f>
        <v>115.858</v>
      </c>
      <c r="D53" s="124">
        <f t="shared" si="20"/>
        <v>2123.0680000000002</v>
      </c>
      <c r="E53" s="124">
        <f t="shared" si="20"/>
        <v>2335.1</v>
      </c>
      <c r="F53" s="124">
        <f t="shared" si="20"/>
        <v>3421.9</v>
      </c>
      <c r="G53" s="160"/>
      <c r="I53" s="18" t="s">
        <v>123</v>
      </c>
      <c r="J53" s="87">
        <v>8202.9719999999998</v>
      </c>
      <c r="K53" s="87">
        <v>10781.262000000001</v>
      </c>
      <c r="L53" s="91">
        <v>12507.437</v>
      </c>
      <c r="M53" s="32">
        <v>22055.8</v>
      </c>
      <c r="N53" s="139">
        <v>28370.799999999999</v>
      </c>
    </row>
    <row r="54" spans="1:14" ht="12" customHeight="1" x14ac:dyDescent="0.3">
      <c r="A54" s="51" t="s">
        <v>57</v>
      </c>
      <c r="B54" s="59">
        <f>54.528-12.146</f>
        <v>42.381999999999998</v>
      </c>
      <c r="C54" s="126">
        <f>161.1-9.179</f>
        <v>151.92099999999999</v>
      </c>
      <c r="D54" s="128">
        <f>316.719-15.468</f>
        <v>301.25099999999998</v>
      </c>
      <c r="E54" s="126">
        <f>396.541-15.937</f>
        <v>380.60399999999998</v>
      </c>
      <c r="F54" s="129">
        <f>281.5-37.6</f>
        <v>243.9</v>
      </c>
      <c r="G54" s="161"/>
      <c r="I54" s="18" t="s">
        <v>124</v>
      </c>
      <c r="J54" s="82">
        <v>306.31299999999999</v>
      </c>
      <c r="K54" s="82">
        <v>379.596</v>
      </c>
      <c r="L54" s="83">
        <v>463.07400000000001</v>
      </c>
      <c r="M54" s="35">
        <v>351.6</v>
      </c>
      <c r="N54" s="143">
        <v>393.7</v>
      </c>
    </row>
    <row r="55" spans="1:14" ht="12" customHeight="1" thickBot="1" x14ac:dyDescent="0.35">
      <c r="A55" s="60" t="s">
        <v>133</v>
      </c>
      <c r="B55" s="127">
        <f>B53-B54</f>
        <v>-895.66799999999989</v>
      </c>
      <c r="C55" s="127">
        <f t="shared" ref="C55:F55" si="21">C53-C54</f>
        <v>-36.062999999999988</v>
      </c>
      <c r="D55" s="127">
        <f t="shared" si="21"/>
        <v>1821.8170000000002</v>
      </c>
      <c r="E55" s="127">
        <f t="shared" si="21"/>
        <v>1954.4959999999999</v>
      </c>
      <c r="F55" s="127">
        <f t="shared" si="21"/>
        <v>3178</v>
      </c>
      <c r="G55" s="162"/>
      <c r="I55" s="48" t="s">
        <v>122</v>
      </c>
      <c r="J55" s="87">
        <v>17.553999999999998</v>
      </c>
      <c r="K55" s="87">
        <v>14.577999999999999</v>
      </c>
      <c r="L55" s="91">
        <v>19.992999999999999</v>
      </c>
      <c r="M55" s="32">
        <v>16.082999999999998</v>
      </c>
      <c r="N55" s="148">
        <v>18.8</v>
      </c>
    </row>
    <row r="56" spans="1:14" ht="12" customHeight="1" thickBot="1" x14ac:dyDescent="0.35">
      <c r="A56" s="44" t="s">
        <v>59</v>
      </c>
      <c r="F56" s="19"/>
      <c r="G56" s="19"/>
      <c r="I56" s="98" t="s">
        <v>139</v>
      </c>
      <c r="J56" s="99">
        <f>SUM(J49:J50)</f>
        <v>273.59899999999999</v>
      </c>
      <c r="K56" s="99">
        <f t="shared" ref="K56:N56" si="22">SUM(K49:K50)</f>
        <v>373.13599999999997</v>
      </c>
      <c r="L56" s="99">
        <f>SUM(L49:L50)</f>
        <v>531.35300000000007</v>
      </c>
      <c r="M56" s="99">
        <f t="shared" si="22"/>
        <v>737.7</v>
      </c>
      <c r="N56" s="149">
        <f t="shared" si="22"/>
        <v>818.6</v>
      </c>
    </row>
    <row r="57" spans="1:14" ht="12" customHeight="1" thickBot="1" x14ac:dyDescent="0.35">
      <c r="A57" s="44" t="s">
        <v>136</v>
      </c>
      <c r="B57" s="57" t="s">
        <v>3</v>
      </c>
      <c r="C57" s="49" t="s">
        <v>4</v>
      </c>
      <c r="D57" s="56" t="s">
        <v>6</v>
      </c>
      <c r="E57" s="57" t="s">
        <v>85</v>
      </c>
      <c r="F57" s="58" t="s">
        <v>86</v>
      </c>
      <c r="G57" s="58" t="s">
        <v>140</v>
      </c>
      <c r="I57" s="100" t="s">
        <v>129</v>
      </c>
      <c r="J57" s="92">
        <f>SUM(J58:J62)</f>
        <v>2110.4589999999998</v>
      </c>
      <c r="K57" s="92">
        <f>SUM(K58:K62)</f>
        <v>2200.4180000000001</v>
      </c>
      <c r="L57" s="92">
        <f t="shared" ref="L57:N57" si="23">SUM(L58:L62)</f>
        <v>1897.0680000000002</v>
      </c>
      <c r="M57" s="92">
        <f t="shared" si="23"/>
        <v>3217.2470000000003</v>
      </c>
      <c r="N57" s="150">
        <f t="shared" si="23"/>
        <v>3525.7999999999997</v>
      </c>
    </row>
    <row r="58" spans="1:14" ht="12" customHeight="1" x14ac:dyDescent="0.3">
      <c r="A58" s="61" t="s">
        <v>61</v>
      </c>
      <c r="B58" s="132">
        <f>102352099/1000000</f>
        <v>102.352099</v>
      </c>
      <c r="C58" s="132">
        <f>102352099/1000000</f>
        <v>102.352099</v>
      </c>
      <c r="D58" s="132">
        <f>100524857/1000000</f>
        <v>100.524857</v>
      </c>
      <c r="E58" s="131">
        <f>100524857/1000000</f>
        <v>100.524857</v>
      </c>
      <c r="F58" s="130">
        <f>100524857/1000000</f>
        <v>100.524857</v>
      </c>
      <c r="G58" s="130">
        <f>100524857/1000000</f>
        <v>100.524857</v>
      </c>
      <c r="I58" s="18" t="s">
        <v>130</v>
      </c>
      <c r="J58" s="87">
        <v>1558.8009999999999</v>
      </c>
      <c r="K58" s="87">
        <v>1651.277</v>
      </c>
      <c r="L58" s="87">
        <v>1282.0150000000001</v>
      </c>
      <c r="M58" s="32">
        <v>2450.5390000000002</v>
      </c>
      <c r="N58" s="143">
        <v>2636.6</v>
      </c>
    </row>
    <row r="59" spans="1:14" x14ac:dyDescent="0.3">
      <c r="A59" s="51" t="s">
        <v>62</v>
      </c>
      <c r="B59" s="133">
        <f t="shared" ref="B59:G59" si="24">B58*J70</f>
        <v>13981.296723399999</v>
      </c>
      <c r="C59" s="133">
        <f t="shared" si="24"/>
        <v>17343.56317555</v>
      </c>
      <c r="D59" s="133">
        <f t="shared" si="24"/>
        <v>27609.151975049997</v>
      </c>
      <c r="E59" s="133">
        <f t="shared" si="24"/>
        <v>29619.649115049997</v>
      </c>
      <c r="F59" s="133">
        <f>F58*N70</f>
        <v>28116.802502899998</v>
      </c>
      <c r="G59" s="133">
        <f>G58*O70</f>
        <v>39908.368229</v>
      </c>
      <c r="H59" s="1"/>
      <c r="I59" s="18" t="s">
        <v>51</v>
      </c>
      <c r="J59" s="87">
        <v>95.143000000000001</v>
      </c>
      <c r="K59" s="87">
        <v>5.38</v>
      </c>
      <c r="L59" s="87">
        <v>0.19700000000000001</v>
      </c>
      <c r="M59" s="32">
        <v>99.891000000000005</v>
      </c>
      <c r="N59" s="143">
        <v>113.5</v>
      </c>
    </row>
    <row r="60" spans="1:14" x14ac:dyDescent="0.3">
      <c r="A60" s="51" t="s">
        <v>64</v>
      </c>
      <c r="B60" s="133">
        <f>J10</f>
        <v>1616.5309999999999</v>
      </c>
      <c r="C60" s="133">
        <f t="shared" ref="C60:F60" si="25">K10</f>
        <v>1820.45</v>
      </c>
      <c r="D60" s="133">
        <f t="shared" si="25"/>
        <v>1476.087</v>
      </c>
      <c r="E60" s="133">
        <f t="shared" si="25"/>
        <v>2615.6390000000001</v>
      </c>
      <c r="F60" s="133">
        <f t="shared" si="25"/>
        <v>3052.3</v>
      </c>
      <c r="G60" s="133">
        <v>3052.3</v>
      </c>
      <c r="I60" s="18" t="s">
        <v>49</v>
      </c>
      <c r="J60" s="87">
        <v>314.20499999999998</v>
      </c>
      <c r="K60" s="87">
        <v>335.81400000000002</v>
      </c>
      <c r="L60" s="87">
        <v>378.96800000000002</v>
      </c>
      <c r="M60" s="32">
        <v>408.9</v>
      </c>
      <c r="N60" s="143">
        <v>438.7</v>
      </c>
    </row>
    <row r="61" spans="1:14" ht="12" customHeight="1" x14ac:dyDescent="0.3">
      <c r="A61" s="51" t="s">
        <v>66</v>
      </c>
      <c r="B61" s="133">
        <f>J33+J34</f>
        <v>1271.123</v>
      </c>
      <c r="C61" s="133">
        <f t="shared" ref="C61:D61" si="26">K33+K34</f>
        <v>1562.596</v>
      </c>
      <c r="D61" s="133">
        <f t="shared" si="26"/>
        <v>2308.0720000000001</v>
      </c>
      <c r="E61" s="133">
        <f>M33+M34</f>
        <v>3934</v>
      </c>
      <c r="F61" s="133">
        <f>N33+N34</f>
        <v>6250.8</v>
      </c>
      <c r="G61" s="133">
        <v>6250.8</v>
      </c>
      <c r="I61" s="18" t="s">
        <v>126</v>
      </c>
      <c r="J61" s="87">
        <v>69.433999999999997</v>
      </c>
      <c r="K61" s="87">
        <v>88.180999999999997</v>
      </c>
      <c r="L61" s="87">
        <v>102.27800000000001</v>
      </c>
      <c r="M61" s="32">
        <v>130.017</v>
      </c>
      <c r="N61" s="143">
        <v>151.5</v>
      </c>
    </row>
    <row r="62" spans="1:14" ht="12" customHeight="1" x14ac:dyDescent="0.3">
      <c r="A62" s="62" t="s">
        <v>68</v>
      </c>
      <c r="B62" s="134">
        <f>SUM(B59:B60)-B61</f>
        <v>14326.704723399998</v>
      </c>
      <c r="C62" s="134">
        <f t="shared" ref="C62:G62" si="27">SUM(C59:C60)-C61</f>
        <v>17601.417175549999</v>
      </c>
      <c r="D62" s="134">
        <f t="shared" si="27"/>
        <v>26777.166975049997</v>
      </c>
      <c r="E62" s="134">
        <f t="shared" si="27"/>
        <v>28301.288115049996</v>
      </c>
      <c r="F62" s="134">
        <f t="shared" si="27"/>
        <v>24918.302502899998</v>
      </c>
      <c r="G62" s="134">
        <f>SUM(G59:G60)-G61</f>
        <v>36709.868229</v>
      </c>
      <c r="H62" s="63"/>
      <c r="I62" s="18" t="s">
        <v>47</v>
      </c>
      <c r="J62" s="87">
        <v>72.876000000000005</v>
      </c>
      <c r="K62" s="87">
        <v>119.76600000000001</v>
      </c>
      <c r="L62" s="87">
        <v>133.61000000000001</v>
      </c>
      <c r="M62" s="32">
        <v>127.9</v>
      </c>
      <c r="N62" s="143">
        <v>185.5</v>
      </c>
    </row>
    <row r="63" spans="1:14" ht="12" customHeight="1" x14ac:dyDescent="0.3">
      <c r="B63" s="64"/>
      <c r="C63" s="65"/>
      <c r="D63" s="65"/>
      <c r="E63" s="65"/>
      <c r="F63" s="65"/>
      <c r="G63" s="65"/>
      <c r="H63" s="66"/>
      <c r="I63" s="18"/>
      <c r="J63" s="87"/>
      <c r="K63" s="87"/>
      <c r="L63" s="91"/>
      <c r="M63" s="32"/>
      <c r="N63" s="143"/>
    </row>
    <row r="64" spans="1:14" ht="12" customHeight="1" x14ac:dyDescent="0.3">
      <c r="B64" s="64"/>
      <c r="C64" s="65"/>
      <c r="E64" s="65"/>
      <c r="F64" s="65"/>
      <c r="G64" s="65"/>
      <c r="I64" s="48"/>
      <c r="J64" s="87"/>
      <c r="K64" s="87"/>
      <c r="L64" s="88"/>
      <c r="M64" s="89"/>
      <c r="N64" s="151"/>
    </row>
    <row r="65" spans="2:15" ht="12" customHeight="1" x14ac:dyDescent="0.3">
      <c r="B65" s="65"/>
      <c r="C65" s="66"/>
      <c r="E65" s="66"/>
      <c r="F65" s="66"/>
      <c r="G65" s="66"/>
      <c r="H65" s="64"/>
      <c r="I65" s="23" t="s">
        <v>54</v>
      </c>
      <c r="J65" s="85">
        <f>J27+J14</f>
        <v>18639.431</v>
      </c>
      <c r="K65" s="85">
        <f>K27+K14+231.724</f>
        <v>22015.510999999995</v>
      </c>
      <c r="L65" s="85">
        <f>L27+L14</f>
        <v>24019.542999999998</v>
      </c>
      <c r="M65" s="85">
        <f t="shared" ref="M65:N65" si="28">M27+M14</f>
        <v>34876.233999999997</v>
      </c>
      <c r="N65" s="141">
        <f t="shared" si="28"/>
        <v>42836.899999999994</v>
      </c>
    </row>
    <row r="66" spans="2:15" ht="12" customHeight="1" thickBot="1" x14ac:dyDescent="0.35">
      <c r="B66" s="65"/>
      <c r="C66" s="66"/>
      <c r="E66" s="66"/>
      <c r="F66" s="66"/>
      <c r="G66" s="66"/>
      <c r="I66" s="67" t="s">
        <v>56</v>
      </c>
      <c r="J66" s="93">
        <f t="shared" ref="J66:K66" si="29">J7+J57+J44</f>
        <v>18639.429</v>
      </c>
      <c r="K66" s="93">
        <f t="shared" si="29"/>
        <v>22015.508999999998</v>
      </c>
      <c r="L66" s="93">
        <f>L7+L57+L44</f>
        <v>24019.543000000001</v>
      </c>
      <c r="M66" s="93">
        <f t="shared" ref="M66" si="30">M7+M57+M44</f>
        <v>34876.373999999996</v>
      </c>
      <c r="N66" s="152">
        <f>N7+N57+N44</f>
        <v>42836.85</v>
      </c>
      <c r="O66" s="96"/>
    </row>
    <row r="67" spans="2:15" ht="12" customHeight="1" x14ac:dyDescent="0.3">
      <c r="B67" s="64"/>
      <c r="C67" s="17"/>
      <c r="E67" s="177"/>
      <c r="F67" s="17"/>
      <c r="G67" s="17"/>
    </row>
    <row r="68" spans="2:15" ht="12" customHeight="1" thickBot="1" x14ac:dyDescent="0.35">
      <c r="B68" s="64"/>
      <c r="C68" s="68"/>
      <c r="E68" s="68"/>
      <c r="F68" s="68"/>
      <c r="G68" s="68"/>
      <c r="H68" s="69"/>
      <c r="I68" s="1" t="s">
        <v>58</v>
      </c>
    </row>
    <row r="69" spans="2:15" ht="12" customHeight="1" x14ac:dyDescent="0.3">
      <c r="B69" s="74"/>
      <c r="H69" s="65"/>
      <c r="I69" s="70"/>
      <c r="J69" s="71" t="s">
        <v>3</v>
      </c>
      <c r="K69" s="71" t="s">
        <v>4</v>
      </c>
      <c r="L69" s="72" t="s">
        <v>6</v>
      </c>
      <c r="M69" s="73" t="s">
        <v>85</v>
      </c>
      <c r="N69" s="163" t="s">
        <v>86</v>
      </c>
      <c r="O69" s="171" t="s">
        <v>141</v>
      </c>
    </row>
    <row r="70" spans="2:15" ht="12" customHeight="1" x14ac:dyDescent="0.3">
      <c r="B70" s="63"/>
      <c r="H70" s="65"/>
      <c r="I70" s="75" t="s">
        <v>60</v>
      </c>
      <c r="J70" s="103">
        <v>136.6</v>
      </c>
      <c r="K70" s="103">
        <v>169.45</v>
      </c>
      <c r="L70" s="103">
        <v>274.64999999999998</v>
      </c>
      <c r="M70" s="104">
        <v>294.64999999999998</v>
      </c>
      <c r="N70" s="164">
        <v>279.7</v>
      </c>
      <c r="O70" s="172">
        <v>397</v>
      </c>
    </row>
    <row r="71" spans="2:15" ht="12" customHeight="1" x14ac:dyDescent="0.3">
      <c r="B71" s="65"/>
      <c r="H71" s="65"/>
      <c r="I71" s="75" t="s">
        <v>137</v>
      </c>
      <c r="J71" s="105">
        <f t="shared" ref="J71:N71" si="31">B41</f>
        <v>-0.64</v>
      </c>
      <c r="K71" s="105">
        <f t="shared" si="31"/>
        <v>2.81</v>
      </c>
      <c r="L71" s="105">
        <f t="shared" si="31"/>
        <v>8.33</v>
      </c>
      <c r="M71" s="105">
        <f t="shared" si="31"/>
        <v>1.88</v>
      </c>
      <c r="N71" s="165">
        <f t="shared" si="31"/>
        <v>11.99</v>
      </c>
      <c r="O71" s="172">
        <f>F41+G41-1.31</f>
        <v>12.04</v>
      </c>
    </row>
    <row r="72" spans="2:15" ht="12" customHeight="1" thickBot="1" x14ac:dyDescent="0.35">
      <c r="B72" s="65"/>
      <c r="C72" s="77"/>
      <c r="E72" s="77"/>
      <c r="F72" s="63"/>
      <c r="G72" s="63"/>
      <c r="H72" s="64"/>
      <c r="I72" s="76" t="s">
        <v>63</v>
      </c>
      <c r="J72" s="105">
        <f>J7/B58</f>
        <v>71.912604352158922</v>
      </c>
      <c r="K72" s="105">
        <f>K7/C58</f>
        <v>74.224154406447497</v>
      </c>
      <c r="L72" s="105">
        <f>L7/D58</f>
        <v>76.617656864709602</v>
      </c>
      <c r="M72" s="105">
        <f>M7/E58</f>
        <v>75.993582363414859</v>
      </c>
      <c r="N72" s="165">
        <f>N7/F58</f>
        <v>85.497759026904163</v>
      </c>
      <c r="O72" s="170" t="s">
        <v>138</v>
      </c>
    </row>
    <row r="73" spans="2:15" ht="12" customHeight="1" thickBot="1" x14ac:dyDescent="0.35">
      <c r="B73" s="65"/>
      <c r="C73" s="64"/>
      <c r="E73" s="64"/>
      <c r="F73" s="64"/>
      <c r="G73" s="64"/>
      <c r="H73" s="65"/>
      <c r="I73" s="76" t="s">
        <v>65</v>
      </c>
      <c r="J73" s="106"/>
      <c r="K73" s="107"/>
      <c r="L73" s="107"/>
      <c r="M73" s="108"/>
      <c r="N73" s="166"/>
      <c r="O73" s="170" t="s">
        <v>138</v>
      </c>
    </row>
    <row r="74" spans="2:15" ht="12" customHeight="1" x14ac:dyDescent="0.3">
      <c r="B74" s="65"/>
      <c r="C74" s="64"/>
      <c r="E74" s="64"/>
      <c r="F74" s="64"/>
      <c r="G74" s="64"/>
      <c r="H74" s="65"/>
      <c r="I74" s="76" t="s">
        <v>67</v>
      </c>
      <c r="J74" s="136" t="s">
        <v>138</v>
      </c>
      <c r="K74" s="113">
        <f t="shared" ref="K74:O74" si="32">K70/K71</f>
        <v>60.30249110320284</v>
      </c>
      <c r="L74" s="113">
        <f t="shared" si="32"/>
        <v>32.97118847539015</v>
      </c>
      <c r="M74" s="113">
        <f t="shared" si="32"/>
        <v>156.72872340425531</v>
      </c>
      <c r="N74" s="167">
        <f t="shared" si="32"/>
        <v>23.327773144286905</v>
      </c>
      <c r="O74" s="176">
        <f t="shared" si="32"/>
        <v>32.973421926910298</v>
      </c>
    </row>
    <row r="75" spans="2:15" ht="12" customHeight="1" thickBot="1" x14ac:dyDescent="0.35">
      <c r="B75" s="65"/>
      <c r="C75" s="64"/>
      <c r="E75" s="64"/>
      <c r="F75" s="64"/>
      <c r="G75" s="64"/>
      <c r="H75" s="66"/>
      <c r="I75" s="76" t="s">
        <v>69</v>
      </c>
      <c r="J75" s="113">
        <f>J70/J72</f>
        <v>1.8995279232422773</v>
      </c>
      <c r="K75" s="113">
        <f t="shared" ref="K75:N75" si="33">K70/K72</f>
        <v>2.2829495513293536</v>
      </c>
      <c r="L75" s="113">
        <f t="shared" si="33"/>
        <v>3.5846828425590349</v>
      </c>
      <c r="M75" s="113">
        <f t="shared" si="33"/>
        <v>3.8773010935440726</v>
      </c>
      <c r="N75" s="167">
        <f t="shared" si="33"/>
        <v>3.2714307741327451</v>
      </c>
      <c r="O75" s="170" t="s">
        <v>138</v>
      </c>
    </row>
    <row r="76" spans="2:15" ht="14.25" customHeight="1" thickBot="1" x14ac:dyDescent="0.35">
      <c r="B76" s="64"/>
      <c r="C76" s="64"/>
      <c r="D76" s="64"/>
      <c r="E76" s="64"/>
      <c r="F76" s="64"/>
      <c r="G76" s="64"/>
      <c r="I76" s="76" t="s">
        <v>70</v>
      </c>
      <c r="J76" s="136" t="s">
        <v>138</v>
      </c>
      <c r="K76" s="113">
        <f>C62/C22</f>
        <v>58.136342446847607</v>
      </c>
      <c r="L76" s="113">
        <f>D62/D22</f>
        <v>27.725259964806622</v>
      </c>
      <c r="M76" s="113">
        <f>E62/E22</f>
        <v>161.78081192579026</v>
      </c>
      <c r="N76" s="167">
        <f>F62/F22</f>
        <v>19.238961166537973</v>
      </c>
      <c r="O76" s="170" t="s">
        <v>138</v>
      </c>
    </row>
    <row r="77" spans="2:15" ht="14.25" customHeight="1" thickBot="1" x14ac:dyDescent="0.35">
      <c r="B77" s="65"/>
      <c r="C77" s="64"/>
      <c r="D77" s="64"/>
      <c r="E77" s="64"/>
      <c r="F77" s="64"/>
      <c r="G77" s="64"/>
      <c r="H77" s="17"/>
      <c r="I77" s="78" t="s">
        <v>71</v>
      </c>
      <c r="J77" s="136" t="s">
        <v>138</v>
      </c>
      <c r="K77" s="109">
        <f>C35/K7</f>
        <v>3.6695679003732724E-2</v>
      </c>
      <c r="L77" s="109">
        <f>D35/L7</f>
        <v>0.10827840480998409</v>
      </c>
      <c r="M77" s="109">
        <f>E35/M7</f>
        <v>2.3874351964670804E-2</v>
      </c>
      <c r="N77" s="110">
        <f>F35/N7</f>
        <v>0.13717836095710714</v>
      </c>
      <c r="O77" s="170" t="s">
        <v>138</v>
      </c>
    </row>
    <row r="78" spans="2:15" ht="14.25" customHeight="1" thickBot="1" x14ac:dyDescent="0.35">
      <c r="B78" s="64"/>
      <c r="C78" s="65"/>
      <c r="D78" s="65"/>
      <c r="E78" s="65"/>
      <c r="F78" s="65"/>
      <c r="G78" s="65"/>
      <c r="H78" s="68"/>
      <c r="I78" s="78" t="s">
        <v>72</v>
      </c>
      <c r="J78" s="136" t="s">
        <v>138</v>
      </c>
      <c r="K78" s="109">
        <f>(C30+C27)/K11</f>
        <v>3.967646011955675E-2</v>
      </c>
      <c r="L78" s="109">
        <f>(D30+D27)/L11</f>
        <v>0.11965865139779953</v>
      </c>
      <c r="M78" s="109">
        <f>(E30+E27)/M11</f>
        <v>2.7888957874994732E-2</v>
      </c>
      <c r="N78" s="110">
        <f>(F30+F27)/N11</f>
        <v>0.1379159350731308</v>
      </c>
      <c r="O78" s="170" t="s">
        <v>138</v>
      </c>
    </row>
    <row r="79" spans="2:15" ht="14.25" customHeight="1" thickBot="1" x14ac:dyDescent="0.35">
      <c r="B79" s="22"/>
      <c r="C79" s="65"/>
      <c r="D79" s="65"/>
      <c r="E79" s="65"/>
      <c r="F79" s="65"/>
      <c r="G79" s="65"/>
      <c r="I79" s="76" t="s">
        <v>73</v>
      </c>
      <c r="J79" s="111">
        <f>J10/J7</f>
        <v>0.21962524893327895</v>
      </c>
      <c r="K79" s="111">
        <f t="shared" ref="K79:N79" si="34">K10/K7</f>
        <v>0.2396275476181513</v>
      </c>
      <c r="L79" s="111">
        <f t="shared" si="34"/>
        <v>0.1916503537597285</v>
      </c>
      <c r="M79" s="111">
        <f>M10/M7</f>
        <v>0.34239500662631012</v>
      </c>
      <c r="N79" s="168">
        <f t="shared" si="34"/>
        <v>0.3551395344778438</v>
      </c>
      <c r="O79" s="170" t="s">
        <v>138</v>
      </c>
    </row>
    <row r="80" spans="2:15" ht="14.25" customHeight="1" thickBot="1" x14ac:dyDescent="0.35">
      <c r="C80" s="64"/>
      <c r="D80" s="64"/>
      <c r="E80" s="64"/>
      <c r="F80" s="64"/>
      <c r="G80" s="64"/>
      <c r="I80" s="76" t="s">
        <v>74</v>
      </c>
      <c r="J80" s="111">
        <f>(J10-B61)/J7</f>
        <v>4.6927846099793939E-2</v>
      </c>
      <c r="K80" s="111">
        <f>(K10-C61)/K7</f>
        <v>3.3941564812837922E-2</v>
      </c>
      <c r="L80" s="111">
        <f>(L10-D61)/L7</f>
        <v>-0.10802223688223508</v>
      </c>
      <c r="M80" s="111">
        <f>(M10-E61)/M7</f>
        <v>-0.1725774173465332</v>
      </c>
      <c r="N80" s="168">
        <f>(N10-F61)/N7</f>
        <v>-0.37215011664232983</v>
      </c>
      <c r="O80" s="170" t="s">
        <v>138</v>
      </c>
    </row>
    <row r="81" spans="2:16" ht="14.25" customHeight="1" thickBot="1" x14ac:dyDescent="0.35">
      <c r="B81" s="69"/>
      <c r="C81" s="64"/>
      <c r="D81" s="64"/>
      <c r="E81" s="64"/>
      <c r="F81" s="64"/>
      <c r="G81" s="64"/>
      <c r="I81" s="76" t="s">
        <v>75</v>
      </c>
      <c r="J81" s="109"/>
      <c r="K81" s="109"/>
      <c r="L81" s="109"/>
      <c r="M81" s="110"/>
      <c r="N81" s="166"/>
      <c r="O81" s="170" t="s">
        <v>138</v>
      </c>
    </row>
    <row r="82" spans="2:16" ht="14.25" customHeight="1" thickBot="1" x14ac:dyDescent="0.35">
      <c r="B82" s="65"/>
      <c r="C82" s="74"/>
      <c r="D82" s="74"/>
      <c r="E82" s="74"/>
      <c r="F82" s="74"/>
      <c r="G82" s="74"/>
      <c r="H82" s="63"/>
      <c r="I82" s="76" t="s">
        <v>76</v>
      </c>
      <c r="J82" s="113">
        <f>AVERAGE(I32:J32)/B4*365</f>
        <v>44.435072204131806</v>
      </c>
      <c r="K82" s="113">
        <f>AVERAGE(J32:K32)/C4*365</f>
        <v>26.931453487952602</v>
      </c>
      <c r="L82" s="113">
        <f>AVERAGE(K32:L32)/D4*365</f>
        <v>14.501179532989568</v>
      </c>
      <c r="M82" s="113">
        <f>AVERAGE(L32:M32)/E4*365</f>
        <v>27.600938273743484</v>
      </c>
      <c r="N82" s="167">
        <f>AVERAGE(M32:N32)/F4*365</f>
        <v>13.190241454411867</v>
      </c>
      <c r="O82" s="170" t="s">
        <v>138</v>
      </c>
    </row>
    <row r="83" spans="2:16" ht="14.25" customHeight="1" thickBot="1" x14ac:dyDescent="0.35">
      <c r="B83" s="65"/>
      <c r="C83" s="63"/>
      <c r="D83" s="63"/>
      <c r="E83" s="63"/>
      <c r="F83" s="63"/>
      <c r="G83" s="63"/>
      <c r="H83" s="64"/>
      <c r="I83" s="76" t="s">
        <v>77</v>
      </c>
      <c r="J83" s="113">
        <f t="shared" ref="J83" si="35">AVERAGE(I56:J56)/B4*365</f>
        <v>48.988158600871408</v>
      </c>
      <c r="K83" s="113">
        <f>AVERAGE(J56:K56)/C4*365</f>
        <v>29.365967995513586</v>
      </c>
      <c r="L83" s="113">
        <f t="shared" ref="L83" si="36">AVERAGE(K56:L56)/D4*365</f>
        <v>17.594055671740122</v>
      </c>
      <c r="M83" s="113">
        <f>AVERAGE(L56:M56)/E4*365</f>
        <v>43.797613147027555</v>
      </c>
      <c r="N83" s="167">
        <f>AVERAGE(M56:N56)/F4*365</f>
        <v>24.842973724721858</v>
      </c>
      <c r="O83" s="170" t="s">
        <v>138</v>
      </c>
    </row>
    <row r="84" spans="2:16" ht="14.25" customHeight="1" thickBot="1" x14ac:dyDescent="0.35">
      <c r="B84" s="65"/>
      <c r="C84" s="65"/>
      <c r="D84" s="65"/>
      <c r="E84" s="65"/>
      <c r="F84" s="65"/>
      <c r="G84" s="65"/>
      <c r="H84" s="64"/>
      <c r="I84" s="76" t="s">
        <v>78</v>
      </c>
      <c r="J84" s="113">
        <f t="shared" ref="J84" si="37">AVERAGE(I28:J28)/B4*365</f>
        <v>2232.767570783988</v>
      </c>
      <c r="K84" s="113">
        <f>AVERAGE(J28:K28)/C4*365</f>
        <v>1260.4514966601971</v>
      </c>
      <c r="L84" s="113">
        <f>AVERAGE(K28:L28)/D4*365</f>
        <v>594.29894822088397</v>
      </c>
      <c r="M84" s="113">
        <f>AVERAGE(L28:M28)/E4*365</f>
        <v>1315.1896370637796</v>
      </c>
      <c r="N84" s="167">
        <f>AVERAGE(M28:N28)/F4*365</f>
        <v>795.89326214925484</v>
      </c>
      <c r="O84" s="170" t="s">
        <v>138</v>
      </c>
    </row>
    <row r="85" spans="2:16" ht="14.25" customHeight="1" thickBot="1" x14ac:dyDescent="0.35">
      <c r="B85" s="64"/>
      <c r="C85" s="65"/>
      <c r="D85" s="65"/>
      <c r="E85" s="65"/>
      <c r="F85" s="65"/>
      <c r="G85" s="65"/>
      <c r="H85" s="64"/>
      <c r="I85" s="76" t="s">
        <v>79</v>
      </c>
      <c r="J85" s="112">
        <f>J82+J84-J83</f>
        <v>2228.2144843872484</v>
      </c>
      <c r="K85" s="112">
        <f>K82+K84-K83</f>
        <v>1258.0169821526363</v>
      </c>
      <c r="L85" s="112">
        <f t="shared" ref="L85:N85" si="38">L82+L84-L83</f>
        <v>591.20607208213346</v>
      </c>
      <c r="M85" s="112">
        <f t="shared" si="38"/>
        <v>1298.9929621904955</v>
      </c>
      <c r="N85" s="169">
        <f t="shared" si="38"/>
        <v>784.24052987894481</v>
      </c>
      <c r="O85" s="170" t="s">
        <v>138</v>
      </c>
    </row>
    <row r="86" spans="2:16" ht="15" customHeight="1" thickBot="1" x14ac:dyDescent="0.35">
      <c r="C86" s="65"/>
      <c r="D86" s="65"/>
      <c r="E86" s="65"/>
      <c r="F86" s="65"/>
      <c r="G86" s="65"/>
      <c r="H86" s="64"/>
      <c r="I86" s="79" t="s">
        <v>80</v>
      </c>
      <c r="J86" s="109">
        <f>B27/J10</f>
        <v>3.0211607448295145E-2</v>
      </c>
      <c r="K86" s="109">
        <f>C27/K10</f>
        <v>1.6711802026971354E-2</v>
      </c>
      <c r="L86" s="109">
        <f>D27/L10</f>
        <v>1.3918556291058724E-2</v>
      </c>
      <c r="M86" s="109">
        <f>E27/M10</f>
        <v>9.2172505456601626E-3</v>
      </c>
      <c r="N86" s="110">
        <f>F27/N10</f>
        <v>5.4712839498083409E-3</v>
      </c>
      <c r="O86" s="170" t="s">
        <v>138</v>
      </c>
    </row>
    <row r="87" spans="2:16" ht="12" customHeight="1" thickBot="1" x14ac:dyDescent="0.35">
      <c r="C87" s="65"/>
      <c r="D87" s="65"/>
      <c r="E87" s="65"/>
      <c r="F87" s="65"/>
      <c r="G87" s="65"/>
      <c r="H87" s="64"/>
      <c r="I87" s="80" t="s">
        <v>81</v>
      </c>
      <c r="J87" s="111">
        <f>B4/J15</f>
        <v>5.069220018998454</v>
      </c>
      <c r="K87" s="111">
        <f>C4/K15</f>
        <v>8.7382386767573763</v>
      </c>
      <c r="L87" s="111">
        <f>D4/L15</f>
        <v>13.401683262649824</v>
      </c>
      <c r="M87" s="111">
        <f>E4/M15</f>
        <v>6.5976406737367439</v>
      </c>
      <c r="N87" s="168">
        <f>F4/N15</f>
        <v>13.625074484566797</v>
      </c>
      <c r="O87" s="170" t="s">
        <v>138</v>
      </c>
    </row>
    <row r="88" spans="2:16" ht="12" customHeight="1" thickBot="1" x14ac:dyDescent="0.35">
      <c r="C88" s="65"/>
      <c r="D88" s="65"/>
      <c r="E88" s="65"/>
      <c r="F88" s="65"/>
      <c r="G88" s="65"/>
      <c r="H88" s="65"/>
      <c r="I88" s="81" t="s">
        <v>82</v>
      </c>
      <c r="J88" s="157" t="s">
        <v>138</v>
      </c>
      <c r="K88" s="153">
        <f t="shared" ref="K88:O88" si="39">(C22-C26)/C27</f>
        <v>7.1857476251520067</v>
      </c>
      <c r="L88" s="153">
        <f t="shared" si="39"/>
        <v>42.39644682404461</v>
      </c>
      <c r="M88" s="153">
        <f t="shared" si="39"/>
        <v>2.0185822721805002</v>
      </c>
      <c r="N88" s="170">
        <f t="shared" si="39"/>
        <v>69.586826347305447</v>
      </c>
      <c r="O88" s="170" t="s">
        <v>138</v>
      </c>
      <c r="P88" s="44"/>
    </row>
    <row r="89" spans="2:16" ht="12" customHeight="1" x14ac:dyDescent="0.3">
      <c r="C89" s="64"/>
      <c r="D89" s="64"/>
      <c r="E89" s="64"/>
      <c r="F89" s="64"/>
      <c r="G89" s="64"/>
      <c r="H89" s="65"/>
    </row>
    <row r="90" spans="2:16" ht="12" customHeight="1" x14ac:dyDescent="0.3">
      <c r="C90" s="65"/>
      <c r="D90" s="65"/>
      <c r="E90" s="65"/>
      <c r="F90" s="65"/>
      <c r="G90" s="65"/>
      <c r="H90" s="64"/>
    </row>
    <row r="91" spans="2:16" ht="12" customHeight="1" x14ac:dyDescent="0.3">
      <c r="C91" s="64"/>
      <c r="D91" s="64"/>
      <c r="E91" s="64"/>
      <c r="F91" s="64"/>
      <c r="G91" s="64"/>
      <c r="H91" s="64"/>
      <c r="I91" s="4"/>
    </row>
    <row r="92" spans="2:16" ht="12" customHeight="1" x14ac:dyDescent="0.3">
      <c r="C92" s="22"/>
      <c r="D92" s="22"/>
      <c r="E92" s="22"/>
      <c r="F92" s="22"/>
      <c r="G92" s="22"/>
      <c r="H92" s="74"/>
    </row>
    <row r="93" spans="2:16" ht="12" customHeight="1" x14ac:dyDescent="0.3">
      <c r="H93" s="63"/>
    </row>
    <row r="94" spans="2:16" ht="12" customHeight="1" x14ac:dyDescent="0.3">
      <c r="C94" s="69"/>
      <c r="D94" s="69"/>
      <c r="E94" s="69"/>
      <c r="F94" s="69"/>
      <c r="G94" s="69"/>
      <c r="H94" s="65"/>
    </row>
    <row r="95" spans="2:16" ht="12" customHeight="1" x14ac:dyDescent="0.3">
      <c r="C95" s="65"/>
      <c r="D95" s="65"/>
      <c r="E95" s="65"/>
      <c r="F95" s="65"/>
      <c r="G95" s="65"/>
      <c r="H95" s="65"/>
    </row>
    <row r="96" spans="2:16" ht="12" customHeight="1" x14ac:dyDescent="0.3">
      <c r="C96" s="65"/>
      <c r="D96" s="65"/>
      <c r="E96" s="65"/>
      <c r="F96" s="65"/>
      <c r="G96" s="65"/>
      <c r="H96" s="65"/>
    </row>
    <row r="97" spans="3:8" ht="12" customHeight="1" x14ac:dyDescent="0.3">
      <c r="C97" s="65"/>
      <c r="D97" s="65"/>
      <c r="E97" s="65"/>
      <c r="F97" s="65"/>
      <c r="G97" s="65"/>
      <c r="H97" s="65"/>
    </row>
    <row r="98" spans="3:8" ht="12" customHeight="1" x14ac:dyDescent="0.3">
      <c r="C98" s="64"/>
      <c r="D98" s="64"/>
      <c r="E98" s="64"/>
      <c r="F98" s="64"/>
      <c r="G98" s="64"/>
      <c r="H98" s="65"/>
    </row>
    <row r="99" spans="3:8" ht="12" customHeight="1" x14ac:dyDescent="0.3">
      <c r="H99" s="64"/>
    </row>
    <row r="100" spans="3:8" ht="12" customHeight="1" x14ac:dyDescent="0.3">
      <c r="H100" s="65"/>
    </row>
    <row r="101" spans="3:8" ht="12" customHeight="1" x14ac:dyDescent="0.3">
      <c r="H101" s="64"/>
    </row>
    <row r="102" spans="3:8" ht="12" customHeight="1" x14ac:dyDescent="0.3">
      <c r="H102" s="22"/>
    </row>
    <row r="103" spans="3:8" ht="12" customHeight="1" x14ac:dyDescent="0.3"/>
    <row r="104" spans="3:8" ht="12" customHeight="1" x14ac:dyDescent="0.3">
      <c r="H104" s="69"/>
    </row>
    <row r="105" spans="3:8" ht="12" customHeight="1" x14ac:dyDescent="0.3">
      <c r="H105" s="65"/>
    </row>
    <row r="106" spans="3:8" ht="12" customHeight="1" x14ac:dyDescent="0.3">
      <c r="H106" s="65"/>
    </row>
    <row r="107" spans="3:8" ht="12" customHeight="1" x14ac:dyDescent="0.3">
      <c r="H107" s="65"/>
    </row>
    <row r="108" spans="3:8" ht="12" customHeight="1" x14ac:dyDescent="0.3">
      <c r="H108" s="64"/>
    </row>
    <row r="109" spans="3:8" ht="12" customHeight="1" x14ac:dyDescent="0.3"/>
    <row r="110" spans="3:8" ht="12" customHeight="1" x14ac:dyDescent="0.3"/>
    <row r="111" spans="3:8" ht="12" customHeight="1" x14ac:dyDescent="0.3"/>
    <row r="112" spans="3:8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  <row r="1001" ht="12" customHeight="1" x14ac:dyDescent="0.3"/>
    <row r="1002" ht="12" customHeight="1" x14ac:dyDescent="0.3"/>
    <row r="1003" ht="12" customHeight="1" x14ac:dyDescent="0.3"/>
  </sheetData>
  <mergeCells count="3">
    <mergeCell ref="A1:M1"/>
    <mergeCell ref="A2:F2"/>
    <mergeCell ref="I2:N2"/>
  </mergeCells>
  <pageMargins left="0.7" right="0.7" top="0.75" bottom="0.75" header="0.3" footer="0.3"/>
  <pageSetup orientation="portrait" r:id="rId1"/>
  <ignoredErrors>
    <ignoredError sqref="B21:F21 C10:E10 B20:E20 K82:N82 K84:N84 J56:N56" formulaRange="1"/>
    <ignoredError sqref="L66 K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F2k</dc:creator>
  <cp:lastModifiedBy>DELL</cp:lastModifiedBy>
  <cp:lastPrinted>2024-11-29T07:23:12Z</cp:lastPrinted>
  <dcterms:created xsi:type="dcterms:W3CDTF">2024-11-17T08:43:36Z</dcterms:created>
  <dcterms:modified xsi:type="dcterms:W3CDTF">2026-08-20T11:06:21Z</dcterms:modified>
</cp:coreProperties>
</file>