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DELL\Desktop\Summary and factsheets Q1-FY27\apeejay\"/>
    </mc:Choice>
  </mc:AlternateContent>
  <xr:revisionPtr revIDLastSave="0" documentId="13_ncr:1_{4D7F49AF-22F0-4B01-9C0C-01298815DEF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8" i="1" l="1"/>
  <c r="R76" i="1"/>
  <c r="H55" i="1"/>
  <c r="H52" i="1"/>
  <c r="H9" i="1"/>
  <c r="H7" i="1" s="1"/>
  <c r="H12" i="1" s="1"/>
  <c r="H23" i="1" s="1"/>
  <c r="Q91" i="1"/>
  <c r="P91" i="1"/>
  <c r="O91" i="1"/>
  <c r="N91" i="1"/>
  <c r="M91" i="1"/>
  <c r="L91" i="1"/>
  <c r="Q90" i="1"/>
  <c r="P90" i="1"/>
  <c r="O90" i="1"/>
  <c r="N90" i="1"/>
  <c r="M90" i="1"/>
  <c r="L90" i="1"/>
  <c r="Q89" i="1"/>
  <c r="P89" i="1"/>
  <c r="O89" i="1"/>
  <c r="N89" i="1"/>
  <c r="M89" i="1"/>
  <c r="L89" i="1"/>
  <c r="Q88" i="1"/>
  <c r="P88" i="1"/>
  <c r="O88" i="1"/>
  <c r="N88" i="1"/>
  <c r="M88" i="1"/>
  <c r="L88" i="1"/>
  <c r="Q87" i="1"/>
  <c r="P87" i="1"/>
  <c r="O87" i="1"/>
  <c r="N87" i="1"/>
  <c r="M87" i="1"/>
  <c r="L87" i="1"/>
  <c r="Q86" i="1"/>
  <c r="P86" i="1"/>
  <c r="O86" i="1"/>
  <c r="N86" i="1"/>
  <c r="M86" i="1"/>
  <c r="L86" i="1"/>
  <c r="Q85" i="1"/>
  <c r="P85" i="1"/>
  <c r="O85" i="1"/>
  <c r="N85" i="1"/>
  <c r="M85" i="1"/>
  <c r="L85" i="1"/>
  <c r="Q84" i="1"/>
  <c r="P84" i="1"/>
  <c r="O84" i="1"/>
  <c r="N84" i="1"/>
  <c r="M84" i="1"/>
  <c r="L84" i="1"/>
  <c r="Q83" i="1"/>
  <c r="P83" i="1"/>
  <c r="O83" i="1"/>
  <c r="N83" i="1"/>
  <c r="M83" i="1"/>
  <c r="L83" i="1"/>
  <c r="Q82" i="1"/>
  <c r="P82" i="1"/>
  <c r="O82" i="1"/>
  <c r="N82" i="1"/>
  <c r="M82" i="1"/>
  <c r="L82" i="1"/>
  <c r="Q81" i="1"/>
  <c r="P81" i="1"/>
  <c r="O81" i="1"/>
  <c r="N81" i="1"/>
  <c r="M81" i="1"/>
  <c r="L81" i="1"/>
  <c r="Q80" i="1"/>
  <c r="P80" i="1"/>
  <c r="O80" i="1"/>
  <c r="N80" i="1"/>
  <c r="M80" i="1"/>
  <c r="L80" i="1"/>
  <c r="Q79" i="1"/>
  <c r="P79" i="1"/>
  <c r="O79" i="1"/>
  <c r="N79" i="1"/>
  <c r="Q78" i="1"/>
  <c r="P78" i="1"/>
  <c r="O78" i="1"/>
  <c r="N78" i="1"/>
  <c r="Q77" i="1"/>
  <c r="P77" i="1"/>
  <c r="O77" i="1"/>
  <c r="N77" i="1"/>
  <c r="M77" i="1"/>
  <c r="L77" i="1"/>
  <c r="Q76" i="1"/>
  <c r="P76" i="1"/>
  <c r="O76" i="1"/>
  <c r="N76" i="1"/>
  <c r="M76" i="1"/>
  <c r="L76" i="1"/>
  <c r="Q71" i="1"/>
  <c r="P71" i="1"/>
  <c r="O71" i="1"/>
  <c r="N71" i="1"/>
  <c r="M71" i="1"/>
  <c r="L71" i="1"/>
  <c r="Q70" i="1"/>
  <c r="P70" i="1"/>
  <c r="O70" i="1"/>
  <c r="N70" i="1"/>
  <c r="M70" i="1"/>
  <c r="L70" i="1"/>
  <c r="Q68" i="1"/>
  <c r="P68" i="1"/>
  <c r="O68" i="1"/>
  <c r="N68" i="1"/>
  <c r="M68" i="1"/>
  <c r="L68" i="1"/>
  <c r="Q58" i="1"/>
  <c r="P58" i="1"/>
  <c r="O58" i="1"/>
  <c r="N58" i="1"/>
  <c r="M58" i="1"/>
  <c r="L58" i="1"/>
  <c r="Q56" i="1"/>
  <c r="P56" i="1"/>
  <c r="O56" i="1"/>
  <c r="N56" i="1"/>
  <c r="M56" i="1"/>
  <c r="L56" i="1"/>
  <c r="G55" i="1"/>
  <c r="F55" i="1"/>
  <c r="E55" i="1"/>
  <c r="D55" i="1"/>
  <c r="C55" i="1"/>
  <c r="B55" i="1"/>
  <c r="G54" i="1"/>
  <c r="F54" i="1"/>
  <c r="E54" i="1"/>
  <c r="D54" i="1"/>
  <c r="C54" i="1"/>
  <c r="B54" i="1"/>
  <c r="G53" i="1"/>
  <c r="F53" i="1"/>
  <c r="E53" i="1"/>
  <c r="D53" i="1"/>
  <c r="C53" i="1"/>
  <c r="B53" i="1"/>
  <c r="G52" i="1"/>
  <c r="F52" i="1"/>
  <c r="E52" i="1"/>
  <c r="D52" i="1"/>
  <c r="C52" i="1"/>
  <c r="B52" i="1"/>
  <c r="H51" i="1"/>
  <c r="G51" i="1"/>
  <c r="G48" i="1"/>
  <c r="F48" i="1"/>
  <c r="E48" i="1"/>
  <c r="D48" i="1"/>
  <c r="C48" i="1"/>
  <c r="B48" i="1"/>
  <c r="G46" i="1"/>
  <c r="F46" i="1"/>
  <c r="E46" i="1"/>
  <c r="D46" i="1"/>
  <c r="C46" i="1"/>
  <c r="B46" i="1"/>
  <c r="Q45" i="1"/>
  <c r="P45" i="1"/>
  <c r="O45" i="1"/>
  <c r="N45" i="1"/>
  <c r="M45" i="1"/>
  <c r="L45" i="1"/>
  <c r="G43" i="1"/>
  <c r="F43" i="1"/>
  <c r="E43" i="1"/>
  <c r="D43" i="1"/>
  <c r="C43" i="1"/>
  <c r="B43" i="1"/>
  <c r="G42" i="1"/>
  <c r="F42" i="1"/>
  <c r="E42" i="1"/>
  <c r="D42" i="1"/>
  <c r="C42" i="1"/>
  <c r="B42" i="1"/>
  <c r="G36" i="1"/>
  <c r="F36" i="1"/>
  <c r="E36" i="1"/>
  <c r="G33" i="1"/>
  <c r="H32" i="1"/>
  <c r="G32" i="1"/>
  <c r="F32" i="1"/>
  <c r="E32" i="1"/>
  <c r="C32" i="1"/>
  <c r="Q30" i="1"/>
  <c r="P30" i="1"/>
  <c r="O30" i="1"/>
  <c r="N30" i="1"/>
  <c r="M30" i="1"/>
  <c r="L30" i="1"/>
  <c r="G29" i="1"/>
  <c r="G28" i="1"/>
  <c r="F28" i="1"/>
  <c r="E28" i="1"/>
  <c r="C28" i="1"/>
  <c r="G27" i="1"/>
  <c r="F27" i="1"/>
  <c r="E27" i="1"/>
  <c r="D27" i="1"/>
  <c r="C27" i="1"/>
  <c r="B27" i="1"/>
  <c r="G26" i="1"/>
  <c r="F26" i="1"/>
  <c r="E26" i="1"/>
  <c r="D26" i="1"/>
  <c r="C26" i="1"/>
  <c r="B26" i="1"/>
  <c r="G25" i="1"/>
  <c r="F25" i="1"/>
  <c r="E25" i="1"/>
  <c r="D25" i="1"/>
  <c r="C25" i="1"/>
  <c r="B25" i="1"/>
  <c r="G23" i="1"/>
  <c r="F23" i="1"/>
  <c r="E23" i="1"/>
  <c r="D23" i="1"/>
  <c r="C23" i="1"/>
  <c r="B23" i="1"/>
  <c r="F17" i="1"/>
  <c r="G15" i="1"/>
  <c r="G14" i="1"/>
  <c r="F14" i="1"/>
  <c r="E14" i="1"/>
  <c r="C14" i="1"/>
  <c r="R13" i="1"/>
  <c r="Q13" i="1"/>
  <c r="P13" i="1"/>
  <c r="O13" i="1"/>
  <c r="N13" i="1"/>
  <c r="M13" i="1"/>
  <c r="L13" i="1"/>
  <c r="G13" i="1"/>
  <c r="F13" i="1"/>
  <c r="E13" i="1"/>
  <c r="D13" i="1"/>
  <c r="C13" i="1"/>
  <c r="B13" i="1"/>
  <c r="Q12" i="1"/>
  <c r="P12" i="1"/>
  <c r="O12" i="1"/>
  <c r="N12" i="1"/>
  <c r="M12" i="1"/>
  <c r="L12" i="1"/>
  <c r="G12" i="1"/>
  <c r="F12" i="1"/>
  <c r="E12" i="1"/>
  <c r="D12" i="1"/>
  <c r="C12" i="1"/>
  <c r="B12" i="1"/>
  <c r="Q11" i="1"/>
  <c r="P11" i="1"/>
  <c r="O11" i="1"/>
  <c r="N11" i="1"/>
  <c r="M11" i="1"/>
  <c r="L11" i="1"/>
  <c r="F10" i="1"/>
  <c r="E10" i="1"/>
  <c r="D10" i="1"/>
  <c r="Q7" i="1"/>
  <c r="P7" i="1"/>
  <c r="O7" i="1"/>
  <c r="N7" i="1"/>
  <c r="M7" i="1"/>
  <c r="L7" i="1"/>
  <c r="G7" i="1"/>
  <c r="F7" i="1"/>
  <c r="E7" i="1"/>
  <c r="D7" i="1"/>
  <c r="C7" i="1"/>
  <c r="B7" i="1"/>
  <c r="G6" i="1"/>
  <c r="G5" i="1"/>
  <c r="F5" i="1"/>
  <c r="E5" i="1"/>
  <c r="C5" i="1"/>
  <c r="R91" i="1" l="1"/>
  <c r="H26" i="1"/>
  <c r="H25" i="1"/>
  <c r="H27" i="1" l="1"/>
  <c r="H28" i="1"/>
</calcChain>
</file>

<file path=xl/sharedStrings.xml><?xml version="1.0" encoding="utf-8"?>
<sst xmlns="http://schemas.openxmlformats.org/spreadsheetml/2006/main" count="198" uniqueCount="125">
  <si>
    <t xml:space="preserve">Apeejay Surrendra Park Hotels Ltd </t>
  </si>
  <si>
    <t>Consolidated Income statement</t>
  </si>
  <si>
    <t>Consolidated Balance Sheet</t>
  </si>
  <si>
    <t>March Year Ended (INR Mn)</t>
  </si>
  <si>
    <t>FY21</t>
  </si>
  <si>
    <t>FY25</t>
  </si>
  <si>
    <t>FY26</t>
  </si>
  <si>
    <t>Q1FY27</t>
  </si>
  <si>
    <t>Y/E, Mar (Rs. mn)</t>
  </si>
  <si>
    <t>Revenue From Operations</t>
  </si>
  <si>
    <t>Equity Share Capital</t>
  </si>
  <si>
    <t>Growth(%)</t>
  </si>
  <si>
    <t>-</t>
  </si>
  <si>
    <t>N/A</t>
  </si>
  <si>
    <t>Other Equity</t>
  </si>
  <si>
    <t>CAGR (%) 3 years</t>
  </si>
  <si>
    <t>Non-Controlling Interest</t>
  </si>
  <si>
    <t>Expenditure</t>
  </si>
  <si>
    <t>Networth/Shareholders Fund/ Book Value</t>
  </si>
  <si>
    <t>a. Consumption of Food and bev</t>
  </si>
  <si>
    <t>b. Employee Benefit Expense</t>
  </si>
  <si>
    <t>Long Term Debt</t>
  </si>
  <si>
    <t>c. Other Expense</t>
  </si>
  <si>
    <t>Short Term Debt</t>
  </si>
  <si>
    <t>Total Loans</t>
  </si>
  <si>
    <t>EBITDA</t>
  </si>
  <si>
    <t>Capital Employed (Asset)</t>
  </si>
  <si>
    <t>EBITDA Margins (%)</t>
  </si>
  <si>
    <t>Capital Employed (liabilities)</t>
  </si>
  <si>
    <t>NON CURRENT ASSETS</t>
  </si>
  <si>
    <t>Property, plant and Equipment</t>
  </si>
  <si>
    <t>Other Income</t>
  </si>
  <si>
    <t>Capital WIP</t>
  </si>
  <si>
    <t>Depreciation &amp; Impairment</t>
  </si>
  <si>
    <t>Right to use assets</t>
  </si>
  <si>
    <t>Finance cost</t>
  </si>
  <si>
    <t>Investment Property</t>
  </si>
  <si>
    <t>Impairment loss (including reversal of impairment loss) on financial assets</t>
  </si>
  <si>
    <t xml:space="preserve">Other Intangible assets </t>
  </si>
  <si>
    <t>Share of Profit/(loss) Joint Ventures</t>
  </si>
  <si>
    <t>Goodwill</t>
  </si>
  <si>
    <t>Exceptional Items Profit/(loss)</t>
  </si>
  <si>
    <t>Financial Assets</t>
  </si>
  <si>
    <t>PBT</t>
  </si>
  <si>
    <t>i. Investment accounted for Equity Method</t>
  </si>
  <si>
    <t xml:space="preserve">Tax </t>
  </si>
  <si>
    <t>ii. Investments</t>
  </si>
  <si>
    <t>Effective Tax Rate (%)</t>
  </si>
  <si>
    <t>iii. Loans</t>
  </si>
  <si>
    <t>PAT from continuing operations</t>
  </si>
  <si>
    <t>iv. Other Financial assets</t>
  </si>
  <si>
    <t>PAT Margins (%)</t>
  </si>
  <si>
    <t>Income Tax Asset (net)</t>
  </si>
  <si>
    <t>Other Non-current assets</t>
  </si>
  <si>
    <t>EPS</t>
  </si>
  <si>
    <t>Total Non Current Assets</t>
  </si>
  <si>
    <t>Diluted</t>
  </si>
  <si>
    <t>CURRENT ASSETS, LOANS &amp; ADVANCES</t>
  </si>
  <si>
    <t>Inventories</t>
  </si>
  <si>
    <t>CASH FLOW (INR Mn)</t>
  </si>
  <si>
    <t xml:space="preserve"> FY25</t>
  </si>
  <si>
    <t>i. Investment</t>
  </si>
  <si>
    <t>Cash and Cash Equivalents at beginning of the year</t>
  </si>
  <si>
    <t>ii. Trade Receviable</t>
  </si>
  <si>
    <t>iii. Cash and Bank Balance</t>
  </si>
  <si>
    <t>Cash Flow From Operating Activities</t>
  </si>
  <si>
    <t>Cash and Cash Equivalent</t>
  </si>
  <si>
    <t>Cash Flow from Investing Activities</t>
  </si>
  <si>
    <t>Other Bank Balances</t>
  </si>
  <si>
    <t>Cash Flow From Financing Activities</t>
  </si>
  <si>
    <t>iv. Loans</t>
  </si>
  <si>
    <t>v. Other Financial assets</t>
  </si>
  <si>
    <t>Net Inc./(Dec.) in Cash and Cash Equivalents</t>
  </si>
  <si>
    <t>Current Tax assets</t>
  </si>
  <si>
    <t>Cash and Cash Equivalents at end of the year</t>
  </si>
  <si>
    <t xml:space="preserve">Other Current Assets </t>
  </si>
  <si>
    <t>Our Calculations</t>
  </si>
  <si>
    <t>Total Current Asset</t>
  </si>
  <si>
    <t xml:space="preserve">Operating Cash Inflow </t>
  </si>
  <si>
    <t>Capital Expenditure</t>
  </si>
  <si>
    <t>CURRENT LIABILITIES &amp; PROVISIONS</t>
  </si>
  <si>
    <t>FCF</t>
  </si>
  <si>
    <t>Financial Liabilities</t>
  </si>
  <si>
    <t>a) Trade payables</t>
  </si>
  <si>
    <t>b) Oher financial liabilities</t>
  </si>
  <si>
    <t>No of Shares (in Mn)</t>
  </si>
  <si>
    <t>c)Lease liablities</t>
  </si>
  <si>
    <t>Market Cap (INR in Mn)</t>
  </si>
  <si>
    <t>Other current liabilities</t>
  </si>
  <si>
    <t>Total Debt</t>
  </si>
  <si>
    <t>Provisions</t>
  </si>
  <si>
    <t>Cash</t>
  </si>
  <si>
    <t>Current Tax Liabilities</t>
  </si>
  <si>
    <t>EV</t>
  </si>
  <si>
    <t>Total Current Liabilities excluding borrowings</t>
  </si>
  <si>
    <t>NET CURRENT ASSETS</t>
  </si>
  <si>
    <t>NON CURRENT LIABILITIES</t>
  </si>
  <si>
    <t>i. lease liability</t>
  </si>
  <si>
    <t>ii. Other Financial Liabilities</t>
  </si>
  <si>
    <t>Non current Tax Liabilities</t>
  </si>
  <si>
    <t>Other non-current liabilites</t>
  </si>
  <si>
    <t>Total Non current Liablities excluding Borrowings</t>
  </si>
  <si>
    <t>TOTAL ASSETS</t>
  </si>
  <si>
    <t>TOTAL LIABILITIES &amp; EQUITY</t>
  </si>
  <si>
    <t>Key Ratios</t>
  </si>
  <si>
    <t>FY23</t>
  </si>
  <si>
    <t>FY24</t>
  </si>
  <si>
    <t>CMP(INR)</t>
  </si>
  <si>
    <t>EPS (INR)</t>
  </si>
  <si>
    <t>BVPS (INR)</t>
  </si>
  <si>
    <t>P/E (x)</t>
  </si>
  <si>
    <t>NA</t>
  </si>
  <si>
    <t>P/BV (x)</t>
  </si>
  <si>
    <t>EV/EBIDTA (x)</t>
  </si>
  <si>
    <t>ROE (%)</t>
  </si>
  <si>
    <t>ROCE (%)</t>
  </si>
  <si>
    <t>Gross D/E (x)</t>
  </si>
  <si>
    <t>Net D/E (x)</t>
  </si>
  <si>
    <t>Debtor Days</t>
  </si>
  <si>
    <t>Creditor Days</t>
  </si>
  <si>
    <t>Inventory Days</t>
  </si>
  <si>
    <t>Cash Conversion cycle</t>
  </si>
  <si>
    <t>Working Capital Days</t>
  </si>
  <si>
    <t>Fixed Asset Turnover</t>
  </si>
  <si>
    <t xml:space="preserve">Interest Coverage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</si>
</sst>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6" formatCode="&quot;FY&quot;00"/>
    <numFmt numFmtId="167" formatCode="#,##0.00;\(#,##0.00\)"/>
    <numFmt numFmtId="168" formatCode="_ * #,##0.00_ ;_ * \-#,##0.00_ ;_ * \-??_ ;_ @_ "/>
    <numFmt numFmtId="169" formatCode="#,##0.000"/>
    <numFmt numFmtId="170" formatCode="#,##0.00;\(#,##0.00\);\-"/>
    <numFmt numFmtId="171" formatCode="0.00\x"/>
  </numFmts>
  <fonts count="13">
    <font>
      <sz val="11"/>
      <color theme="1"/>
      <name val="Calibri"/>
      <charset val="1"/>
    </font>
    <font>
      <b/>
      <sz val="11"/>
      <color theme="0"/>
      <name val="Calibri"/>
      <charset val="1"/>
    </font>
    <font>
      <b/>
      <sz val="11"/>
      <color theme="1"/>
      <name val="Calibri"/>
      <charset val="1"/>
    </font>
    <font>
      <sz val="11"/>
      <name val="Calibri"/>
      <charset val="1"/>
    </font>
    <font>
      <i/>
      <sz val="11"/>
      <color theme="1"/>
      <name val="Calibri"/>
      <charset val="1"/>
    </font>
    <font>
      <sz val="11"/>
      <color theme="0"/>
      <name val="Calibri"/>
      <charset val="1"/>
    </font>
    <font>
      <b/>
      <sz val="11"/>
      <name val="Calibri"/>
      <charset val="1"/>
    </font>
    <font>
      <i/>
      <sz val="11"/>
      <color theme="0"/>
      <name val="Calibri"/>
      <charset val="1"/>
    </font>
    <font>
      <i/>
      <sz val="11"/>
      <color rgb="FF002060"/>
      <name val="Calibri"/>
      <charset val="1"/>
    </font>
    <font>
      <i/>
      <sz val="11"/>
      <name val="Calibri"/>
      <charset val="1"/>
    </font>
    <font>
      <sz val="10"/>
      <color rgb="FF000000"/>
      <name val="MyFirstFont"/>
      <charset val="1"/>
    </font>
    <font>
      <sz val="10"/>
      <name val="MyFirstFont"/>
      <charset val="1"/>
    </font>
    <font>
      <sz val="11"/>
      <color theme="1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theme="2" tint="-0.499984740745262"/>
        <bgColor rgb="FF666699"/>
      </patternFill>
    </fill>
    <fill>
      <patternFill patternType="solid">
        <fgColor rgb="FF7030A0"/>
        <bgColor rgb="FF993366"/>
      </patternFill>
    </fill>
    <fill>
      <patternFill patternType="solid">
        <fgColor rgb="FFFFFF00"/>
        <bgColor rgb="FFFFFF00"/>
      </patternFill>
    </fill>
    <fill>
      <patternFill patternType="solid">
        <fgColor theme="5" tint="-0.499984740745262"/>
        <bgColor rgb="FF993366"/>
      </patternFill>
    </fill>
    <fill>
      <patternFill patternType="solid">
        <fgColor theme="3" tint="0.59999389629810485"/>
        <bgColor rgb="FF993366"/>
      </patternFill>
    </fill>
    <fill>
      <patternFill patternType="solid">
        <fgColor theme="0"/>
        <bgColor rgb="FF993366"/>
      </patternFill>
    </fill>
    <fill>
      <patternFill patternType="solid">
        <fgColor rgb="FFFFFF00"/>
        <bgColor rgb="FF666699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1" fillId="5" borderId="3" xfId="0" applyFont="1" applyFill="1" applyBorder="1"/>
    <xf numFmtId="0" fontId="1" fillId="5" borderId="4" xfId="0" applyFont="1" applyFill="1" applyBorder="1" applyAlignment="1">
      <alignment horizontal="center"/>
    </xf>
    <xf numFmtId="166" fontId="1" fillId="5" borderId="4" xfId="0" applyNumberFormat="1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left"/>
    </xf>
    <xf numFmtId="166" fontId="1" fillId="5" borderId="0" xfId="0" applyNumberFormat="1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0" fillId="0" borderId="6" xfId="0" applyBorder="1"/>
    <xf numFmtId="167" fontId="0" fillId="0" borderId="0" xfId="0" applyNumberFormat="1" applyAlignment="1">
      <alignment horizontal="center"/>
    </xf>
    <xf numFmtId="167" fontId="3" fillId="0" borderId="0" xfId="0" applyNumberFormat="1" applyFont="1" applyAlignment="1">
      <alignment horizontal="center"/>
    </xf>
    <xf numFmtId="167" fontId="3" fillId="0" borderId="7" xfId="0" applyNumberFormat="1" applyFont="1" applyBorder="1" applyAlignment="1">
      <alignment horizontal="center"/>
    </xf>
    <xf numFmtId="0" fontId="4" fillId="6" borderId="6" xfId="0" applyFont="1" applyFill="1" applyBorder="1"/>
    <xf numFmtId="0" fontId="4" fillId="6" borderId="0" xfId="0" applyFont="1" applyFill="1" applyAlignment="1">
      <alignment horizontal="center"/>
    </xf>
    <xf numFmtId="10" fontId="4" fillId="6" borderId="0" xfId="0" applyNumberFormat="1" applyFont="1" applyFill="1" applyAlignment="1">
      <alignment horizontal="center"/>
    </xf>
    <xf numFmtId="10" fontId="4" fillId="6" borderId="7" xfId="0" applyNumberFormat="1" applyFont="1" applyFill="1" applyBorder="1" applyAlignment="1">
      <alignment horizontal="center"/>
    </xf>
    <xf numFmtId="0" fontId="2" fillId="0" borderId="6" xfId="0" applyFont="1" applyBorder="1"/>
    <xf numFmtId="0" fontId="5" fillId="3" borderId="6" xfId="0" applyFont="1" applyFill="1" applyBorder="1"/>
    <xf numFmtId="167" fontId="5" fillId="3" borderId="0" xfId="0" applyNumberFormat="1" applyFont="1" applyFill="1" applyAlignment="1">
      <alignment horizontal="center"/>
    </xf>
    <xf numFmtId="167" fontId="5" fillId="3" borderId="7" xfId="0" applyNumberFormat="1" applyFont="1" applyFill="1" applyBorder="1" applyAlignment="1">
      <alignment horizontal="center"/>
    </xf>
    <xf numFmtId="167" fontId="0" fillId="0" borderId="7" xfId="0" applyNumberFormat="1" applyBorder="1" applyAlignment="1">
      <alignment horizontal="center"/>
    </xf>
    <xf numFmtId="167" fontId="2" fillId="0" borderId="0" xfId="0" applyNumberFormat="1" applyFont="1" applyAlignment="1">
      <alignment horizontal="center"/>
    </xf>
    <xf numFmtId="167" fontId="6" fillId="0" borderId="0" xfId="0" applyNumberFormat="1" applyFont="1" applyAlignment="1">
      <alignment horizontal="center"/>
    </xf>
    <xf numFmtId="167" fontId="6" fillId="0" borderId="7" xfId="0" applyNumberFormat="1" applyFont="1" applyBorder="1" applyAlignment="1">
      <alignment horizontal="center"/>
    </xf>
    <xf numFmtId="0" fontId="7" fillId="6" borderId="6" xfId="0" applyFont="1" applyFill="1" applyBorder="1"/>
    <xf numFmtId="10" fontId="7" fillId="6" borderId="0" xfId="0" applyNumberFormat="1" applyFont="1" applyFill="1" applyAlignment="1">
      <alignment horizontal="center"/>
    </xf>
    <xf numFmtId="10" fontId="7" fillId="6" borderId="7" xfId="0" applyNumberFormat="1" applyFont="1" applyFill="1" applyBorder="1" applyAlignment="1">
      <alignment horizontal="center"/>
    </xf>
    <xf numFmtId="168" fontId="0" fillId="0" borderId="0" xfId="0" applyNumberFormat="1"/>
    <xf numFmtId="0" fontId="7" fillId="6" borderId="0" xfId="0" applyFont="1" applyFill="1" applyAlignment="1">
      <alignment horizontal="center"/>
    </xf>
    <xf numFmtId="0" fontId="0" fillId="0" borderId="7" xfId="0" applyBorder="1"/>
    <xf numFmtId="10" fontId="4" fillId="7" borderId="7" xfId="0" applyNumberFormat="1" applyFont="1" applyFill="1" applyBorder="1" applyAlignment="1">
      <alignment horizontal="center"/>
    </xf>
    <xf numFmtId="169" fontId="0" fillId="0" borderId="0" xfId="0" applyNumberFormat="1"/>
    <xf numFmtId="170" fontId="3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 wrapText="1"/>
    </xf>
    <xf numFmtId="167" fontId="3" fillId="0" borderId="7" xfId="0" applyNumberFormat="1" applyFont="1" applyBorder="1" applyAlignment="1">
      <alignment horizontal="center" wrapText="1"/>
    </xf>
    <xf numFmtId="170" fontId="3" fillId="0" borderId="7" xfId="0" applyNumberFormat="1" applyFont="1" applyBorder="1" applyAlignment="1">
      <alignment horizontal="center"/>
    </xf>
    <xf numFmtId="0" fontId="3" fillId="0" borderId="0" xfId="0" applyFont="1"/>
    <xf numFmtId="0" fontId="3" fillId="0" borderId="7" xfId="0" applyFont="1" applyBorder="1"/>
    <xf numFmtId="0" fontId="5" fillId="6" borderId="6" xfId="0" applyFont="1" applyFill="1" applyBorder="1"/>
    <xf numFmtId="167" fontId="5" fillId="6" borderId="0" xfId="0" applyNumberFormat="1" applyFont="1" applyFill="1" applyAlignment="1">
      <alignment horizontal="center"/>
    </xf>
    <xf numFmtId="167" fontId="5" fillId="6" borderId="7" xfId="0" applyNumberFormat="1" applyFont="1" applyFill="1" applyBorder="1" applyAlignment="1">
      <alignment horizontal="center"/>
    </xf>
    <xf numFmtId="0" fontId="0" fillId="0" borderId="6" xfId="0" applyBorder="1" applyAlignment="1">
      <alignment horizontal="left" indent="1"/>
    </xf>
    <xf numFmtId="0" fontId="8" fillId="0" borderId="6" xfId="0" applyFont="1" applyBorder="1"/>
    <xf numFmtId="10" fontId="8" fillId="0" borderId="0" xfId="0" applyNumberFormat="1" applyFont="1" applyAlignment="1">
      <alignment horizontal="center"/>
    </xf>
    <xf numFmtId="10" fontId="8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5" borderId="6" xfId="0" applyFont="1" applyFill="1" applyBorder="1"/>
    <xf numFmtId="0" fontId="3" fillId="0" borderId="0" xfId="0" applyFont="1" applyAlignment="1">
      <alignment horizontal="center"/>
    </xf>
    <xf numFmtId="0" fontId="0" fillId="0" borderId="6" xfId="0" applyBorder="1" applyAlignment="1">
      <alignment horizontal="left" indent="2"/>
    </xf>
    <xf numFmtId="167" fontId="3" fillId="0" borderId="7" xfId="0" applyNumberFormat="1" applyFont="1" applyBorder="1" applyAlignment="1">
      <alignment horizontal="center" vertical="center"/>
    </xf>
    <xf numFmtId="0" fontId="4" fillId="0" borderId="6" xfId="0" applyFont="1" applyBorder="1"/>
    <xf numFmtId="167" fontId="4" fillId="0" borderId="0" xfId="0" applyNumberFormat="1" applyFont="1" applyAlignment="1">
      <alignment horizontal="center"/>
    </xf>
    <xf numFmtId="167" fontId="9" fillId="0" borderId="0" xfId="0" applyNumberFormat="1" applyFont="1" applyAlignment="1">
      <alignment horizontal="center"/>
    </xf>
    <xf numFmtId="167" fontId="9" fillId="0" borderId="7" xfId="0" applyNumberFormat="1" applyFont="1" applyBorder="1" applyAlignment="1">
      <alignment horizontal="center"/>
    </xf>
    <xf numFmtId="0" fontId="0" fillId="8" borderId="0" xfId="0" applyFill="1"/>
    <xf numFmtId="0" fontId="1" fillId="3" borderId="6" xfId="0" applyFont="1" applyFill="1" applyBorder="1"/>
    <xf numFmtId="167" fontId="1" fillId="3" borderId="0" xfId="0" applyNumberFormat="1" applyFont="1" applyFill="1" applyAlignment="1">
      <alignment horizontal="center"/>
    </xf>
    <xf numFmtId="167" fontId="1" fillId="3" borderId="7" xfId="0" applyNumberFormat="1" applyFont="1" applyFill="1" applyBorder="1" applyAlignment="1">
      <alignment horizontal="center"/>
    </xf>
    <xf numFmtId="0" fontId="0" fillId="0" borderId="8" xfId="0" applyBorder="1"/>
    <xf numFmtId="167" fontId="0" fillId="0" borderId="9" xfId="0" applyNumberFormat="1" applyBorder="1" applyAlignment="1">
      <alignment horizontal="center"/>
    </xf>
    <xf numFmtId="167" fontId="3" fillId="0" borderId="9" xfId="0" applyNumberFormat="1" applyFont="1" applyBorder="1" applyAlignment="1">
      <alignment horizontal="center"/>
    </xf>
    <xf numFmtId="167" fontId="3" fillId="0" borderId="10" xfId="0" applyNumberFormat="1" applyFont="1" applyBorder="1" applyAlignment="1">
      <alignment horizontal="center"/>
    </xf>
    <xf numFmtId="0" fontId="5" fillId="3" borderId="8" xfId="0" applyFont="1" applyFill="1" applyBorder="1"/>
    <xf numFmtId="167" fontId="5" fillId="3" borderId="9" xfId="0" applyNumberFormat="1" applyFont="1" applyFill="1" applyBorder="1" applyAlignment="1">
      <alignment horizontal="center"/>
    </xf>
    <xf numFmtId="167" fontId="5" fillId="3" borderId="10" xfId="0" applyNumberFormat="1" applyFont="1" applyFill="1" applyBorder="1" applyAlignment="1">
      <alignment horizontal="center"/>
    </xf>
    <xf numFmtId="0" fontId="0" fillId="0" borderId="4" xfId="0" applyBorder="1"/>
    <xf numFmtId="4" fontId="0" fillId="0" borderId="4" xfId="0" applyNumberFormat="1" applyBorder="1"/>
    <xf numFmtId="0" fontId="0" fillId="0" borderId="9" xfId="0" applyBorder="1"/>
    <xf numFmtId="166" fontId="1" fillId="5" borderId="3" xfId="0" applyNumberFormat="1" applyFont="1" applyFill="1" applyBorder="1" applyAlignment="1">
      <alignment horizontal="left"/>
    </xf>
    <xf numFmtId="43" fontId="0" fillId="0" borderId="0" xfId="1" applyFont="1" applyBorder="1" applyAlignment="1">
      <alignment horizontal="center"/>
    </xf>
    <xf numFmtId="43" fontId="10" fillId="0" borderId="0" xfId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7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7" xfId="0" applyNumberFormat="1" applyFont="1" applyBorder="1" applyAlignment="1">
      <alignment horizontal="center" vertical="center"/>
    </xf>
    <xf numFmtId="2" fontId="0" fillId="0" borderId="7" xfId="0" applyNumberFormat="1" applyBorder="1" applyAlignment="1">
      <alignment horizontal="center"/>
    </xf>
    <xf numFmtId="171" fontId="0" fillId="0" borderId="0" xfId="0" applyNumberFormat="1" applyAlignment="1">
      <alignment horizontal="center"/>
    </xf>
    <xf numFmtId="171" fontId="3" fillId="0" borderId="0" xfId="0" applyNumberFormat="1" applyFont="1" applyAlignment="1">
      <alignment horizontal="center"/>
    </xf>
    <xf numFmtId="171" fontId="3" fillId="0" borderId="7" xfId="0" applyNumberFormat="1" applyFont="1" applyBorder="1" applyAlignment="1">
      <alignment horizontal="center"/>
    </xf>
    <xf numFmtId="171" fontId="0" fillId="0" borderId="7" xfId="0" applyNumberFormat="1" applyBorder="1" applyAlignment="1">
      <alignment horizontal="center"/>
    </xf>
    <xf numFmtId="10" fontId="0" fillId="0" borderId="0" xfId="0" applyNumberFormat="1" applyAlignment="1">
      <alignment horizontal="center"/>
    </xf>
    <xf numFmtId="10" fontId="3" fillId="0" borderId="0" xfId="0" applyNumberFormat="1" applyFont="1" applyAlignment="1">
      <alignment horizontal="center"/>
    </xf>
    <xf numFmtId="10" fontId="0" fillId="0" borderId="7" xfId="0" applyNumberFormat="1" applyBorder="1" applyAlignment="1">
      <alignment horizontal="center"/>
    </xf>
    <xf numFmtId="171" fontId="0" fillId="0" borderId="9" xfId="0" applyNumberFormat="1" applyBorder="1" applyAlignment="1">
      <alignment horizontal="center"/>
    </xf>
    <xf numFmtId="171" fontId="3" fillId="0" borderId="9" xfId="0" applyNumberFormat="1" applyFont="1" applyBorder="1" applyAlignment="1">
      <alignment horizontal="center"/>
    </xf>
    <xf numFmtId="171" fontId="3" fillId="0" borderId="10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767171"/>
      <rgbColor rgb="009999FF"/>
      <rgbColor rgb="007030A0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2060"/>
      <rgbColor rgb="00339966"/>
      <rgbColor rgb="00003300"/>
      <rgbColor rgb="00333300"/>
      <rgbColor rgb="00843C0B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1"/>
  <sheetViews>
    <sheetView showGridLines="0" tabSelected="1" topLeftCell="A56" zoomScale="80" zoomScaleNormal="80" workbookViewId="0">
      <selection activeCell="R76" sqref="R76"/>
    </sheetView>
  </sheetViews>
  <sheetFormatPr defaultColWidth="8.6640625" defaultRowHeight="14.4"/>
  <cols>
    <col min="1" max="1" width="66.5546875" customWidth="1"/>
    <col min="2" max="3" width="10.5546875" style="1" hidden="1" customWidth="1"/>
    <col min="4" max="8" width="10.5546875" style="1" customWidth="1"/>
    <col min="9" max="10" width="3.6640625" style="2" customWidth="1"/>
    <col min="11" max="11" width="57.44140625" customWidth="1"/>
    <col min="12" max="13" width="9.33203125" hidden="1" customWidth="1"/>
    <col min="14" max="16" width="9.33203125" customWidth="1"/>
    <col min="17" max="17" width="9.109375" customWidth="1"/>
    <col min="18" max="18" width="16.6640625" customWidth="1"/>
  </cols>
  <sheetData>
    <row r="1" spans="1:18" ht="15.75" customHeight="1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8" ht="15.75" customHeight="1">
      <c r="A2" s="92" t="s">
        <v>1</v>
      </c>
      <c r="B2" s="92"/>
      <c r="C2" s="92"/>
      <c r="D2" s="92"/>
      <c r="E2" s="92"/>
      <c r="F2" s="92"/>
      <c r="G2" s="92"/>
      <c r="H2" s="92"/>
      <c r="K2" s="93" t="s">
        <v>2</v>
      </c>
      <c r="L2" s="94"/>
      <c r="M2" s="94"/>
      <c r="N2" s="94"/>
      <c r="O2" s="94"/>
      <c r="P2" s="94"/>
      <c r="Q2" s="95"/>
    </row>
    <row r="3" spans="1:18" ht="15" customHeight="1">
      <c r="A3" s="3" t="s">
        <v>3</v>
      </c>
      <c r="B3" s="4" t="s">
        <v>4</v>
      </c>
      <c r="C3" s="5">
        <v>22</v>
      </c>
      <c r="D3" s="5">
        <v>23</v>
      </c>
      <c r="E3" s="5">
        <v>24</v>
      </c>
      <c r="F3" s="4" t="s">
        <v>5</v>
      </c>
      <c r="G3" s="6" t="s">
        <v>6</v>
      </c>
      <c r="H3" s="6" t="s">
        <v>7</v>
      </c>
      <c r="K3" s="7" t="s">
        <v>8</v>
      </c>
      <c r="L3" s="8" t="s">
        <v>4</v>
      </c>
      <c r="M3" s="8">
        <v>22</v>
      </c>
      <c r="N3" s="8">
        <v>23</v>
      </c>
      <c r="O3" s="8">
        <v>24</v>
      </c>
      <c r="P3" s="9" t="s">
        <v>5</v>
      </c>
      <c r="Q3" s="10" t="s">
        <v>6</v>
      </c>
    </row>
    <row r="4" spans="1:18" ht="15" customHeight="1">
      <c r="A4" s="11" t="s">
        <v>9</v>
      </c>
      <c r="B4" s="12">
        <v>1788.3</v>
      </c>
      <c r="C4" s="12">
        <v>2550.1999999999998</v>
      </c>
      <c r="D4" s="13">
        <v>5104.5</v>
      </c>
      <c r="E4" s="13">
        <v>5789.7</v>
      </c>
      <c r="F4" s="13">
        <v>6314.5</v>
      </c>
      <c r="G4" s="14">
        <v>7072.8</v>
      </c>
      <c r="H4">
        <v>1667.8</v>
      </c>
      <c r="K4" s="11" t="s">
        <v>10</v>
      </c>
      <c r="L4" s="12">
        <v>174.66</v>
      </c>
      <c r="M4" s="12">
        <v>174.66</v>
      </c>
      <c r="N4" s="13">
        <v>174.66</v>
      </c>
      <c r="O4" s="13">
        <v>213.4</v>
      </c>
      <c r="P4" s="13">
        <v>213.4</v>
      </c>
      <c r="Q4" s="14">
        <v>213.4</v>
      </c>
    </row>
    <row r="5" spans="1:18" ht="15" customHeight="1">
      <c r="A5" s="15" t="s">
        <v>11</v>
      </c>
      <c r="B5" s="16" t="s">
        <v>12</v>
      </c>
      <c r="C5" s="17">
        <f>C4/B4-1</f>
        <v>0.42604708382262502</v>
      </c>
      <c r="D5" s="16" t="s">
        <v>12</v>
      </c>
      <c r="E5" s="17" t="e">
        <f>E4/#REF!-1</f>
        <v>#REF!</v>
      </c>
      <c r="F5" s="17">
        <f>F4/E4-1</f>
        <v>9.0643729381487903E-2</v>
      </c>
      <c r="G5" s="18">
        <f>G4/F4-1</f>
        <v>0.120088684773141</v>
      </c>
      <c r="H5" s="18" t="s">
        <v>13</v>
      </c>
      <c r="K5" s="11" t="s">
        <v>14</v>
      </c>
      <c r="L5" s="12">
        <v>5188.1000000000004</v>
      </c>
      <c r="M5" s="12">
        <v>4910.47</v>
      </c>
      <c r="N5" s="13">
        <v>5382.16</v>
      </c>
      <c r="O5" s="13">
        <v>11766.5</v>
      </c>
      <c r="P5" s="13">
        <v>12627.8</v>
      </c>
      <c r="Q5" s="14">
        <v>13209.8</v>
      </c>
    </row>
    <row r="6" spans="1:18" ht="15" customHeight="1">
      <c r="A6" s="15" t="s">
        <v>15</v>
      </c>
      <c r="B6" s="16" t="s">
        <v>12</v>
      </c>
      <c r="C6" s="16" t="s">
        <v>12</v>
      </c>
      <c r="D6" s="16" t="s">
        <v>12</v>
      </c>
      <c r="E6" s="16" t="s">
        <v>12</v>
      </c>
      <c r="F6" s="16" t="s">
        <v>12</v>
      </c>
      <c r="G6" s="18" t="e">
        <f>((G4/#REF!)^(1/3))-1</f>
        <v>#REF!</v>
      </c>
      <c r="H6" s="18" t="s">
        <v>13</v>
      </c>
      <c r="K6" s="11" t="s">
        <v>16</v>
      </c>
      <c r="L6" s="12">
        <v>-0.74</v>
      </c>
      <c r="M6" s="12">
        <v>-1.83</v>
      </c>
      <c r="N6" s="13">
        <v>-2.2000000000000002</v>
      </c>
      <c r="O6" s="13">
        <v>-2.4</v>
      </c>
      <c r="P6" s="13">
        <v>-2.2999999999999998</v>
      </c>
      <c r="Q6" s="14">
        <v>-2</v>
      </c>
    </row>
    <row r="7" spans="1:18" ht="15" customHeight="1">
      <c r="A7" s="19" t="s">
        <v>17</v>
      </c>
      <c r="B7" s="12">
        <f t="shared" ref="B7:H7" si="0">SUM(B8:B10)</f>
        <v>1675.39</v>
      </c>
      <c r="C7" s="12">
        <f t="shared" si="0"/>
        <v>2095.37</v>
      </c>
      <c r="D7" s="12">
        <f t="shared" si="0"/>
        <v>3473.3</v>
      </c>
      <c r="E7" s="13">
        <f t="shared" si="0"/>
        <v>3864.7</v>
      </c>
      <c r="F7" s="13">
        <f t="shared" si="0"/>
        <v>4230.3</v>
      </c>
      <c r="G7" s="14">
        <f t="shared" si="0"/>
        <v>4892.6000000000004</v>
      </c>
      <c r="H7" s="14">
        <f t="shared" si="0"/>
        <v>1199.2</v>
      </c>
      <c r="K7" s="20" t="s">
        <v>18</v>
      </c>
      <c r="L7" s="21">
        <f t="shared" ref="L7:Q7" si="1">SUM(L4:L6)</f>
        <v>5362.02</v>
      </c>
      <c r="M7" s="21">
        <f t="shared" si="1"/>
        <v>5083.3</v>
      </c>
      <c r="N7" s="21">
        <f t="shared" si="1"/>
        <v>5554.62</v>
      </c>
      <c r="O7" s="21">
        <f t="shared" si="1"/>
        <v>11977.5</v>
      </c>
      <c r="P7" s="21">
        <f t="shared" si="1"/>
        <v>12838.9</v>
      </c>
      <c r="Q7" s="22">
        <f t="shared" si="1"/>
        <v>13421.2</v>
      </c>
    </row>
    <row r="8" spans="1:18" ht="15" customHeight="1">
      <c r="A8" s="11" t="s">
        <v>19</v>
      </c>
      <c r="B8" s="12">
        <v>271.79000000000002</v>
      </c>
      <c r="C8" s="12">
        <v>353.5</v>
      </c>
      <c r="D8" s="12">
        <v>686.6</v>
      </c>
      <c r="E8" s="13">
        <v>759.3</v>
      </c>
      <c r="F8" s="13">
        <v>794.5</v>
      </c>
      <c r="G8" s="14">
        <v>904.7</v>
      </c>
      <c r="H8">
        <v>209.4</v>
      </c>
      <c r="K8" s="11"/>
      <c r="L8" s="12"/>
      <c r="M8" s="12"/>
      <c r="N8" s="12"/>
      <c r="O8" s="12"/>
      <c r="P8" s="12"/>
      <c r="Q8" s="23"/>
      <c r="R8">
        <v>10</v>
      </c>
    </row>
    <row r="9" spans="1:18" ht="15" customHeight="1">
      <c r="A9" s="11" t="s">
        <v>20</v>
      </c>
      <c r="B9" s="12">
        <v>551.79999999999995</v>
      </c>
      <c r="C9" s="12">
        <v>642.20000000000005</v>
      </c>
      <c r="D9" s="12">
        <v>995</v>
      </c>
      <c r="E9" s="13">
        <v>1152.7</v>
      </c>
      <c r="F9" s="13">
        <v>1412.3</v>
      </c>
      <c r="G9" s="14">
        <v>1593.6</v>
      </c>
      <c r="H9">
        <f>406.1-1</f>
        <v>405.1</v>
      </c>
      <c r="K9" s="11" t="s">
        <v>21</v>
      </c>
      <c r="L9" s="12">
        <v>4696.3999999999996</v>
      </c>
      <c r="M9" s="12">
        <v>4780.1000000000004</v>
      </c>
      <c r="N9" s="13">
        <v>5010.2</v>
      </c>
      <c r="O9" s="13">
        <v>67.900000000000006</v>
      </c>
      <c r="P9" s="13">
        <v>367.8</v>
      </c>
      <c r="Q9" s="14">
        <v>2020</v>
      </c>
    </row>
    <row r="10" spans="1:18" ht="15" customHeight="1">
      <c r="A10" s="11" t="s">
        <v>22</v>
      </c>
      <c r="B10" s="12">
        <v>851.8</v>
      </c>
      <c r="C10" s="12">
        <v>1099.67</v>
      </c>
      <c r="D10" s="12">
        <f>1792.4-0.7</f>
        <v>1791.7</v>
      </c>
      <c r="E10" s="13">
        <f>1953.2-0.5</f>
        <v>1952.7</v>
      </c>
      <c r="F10" s="13">
        <f>2025.8-2.3</f>
        <v>2023.5</v>
      </c>
      <c r="G10" s="14">
        <v>2394.3000000000002</v>
      </c>
      <c r="H10">
        <v>584.70000000000005</v>
      </c>
      <c r="K10" s="11" t="s">
        <v>23</v>
      </c>
      <c r="L10" s="12">
        <v>1238</v>
      </c>
      <c r="M10" s="12">
        <v>1446.69</v>
      </c>
      <c r="N10" s="13">
        <v>658.6</v>
      </c>
      <c r="O10" s="13">
        <v>255.4</v>
      </c>
      <c r="P10" s="13">
        <v>364.2</v>
      </c>
      <c r="Q10" s="14">
        <v>552.9</v>
      </c>
    </row>
    <row r="11" spans="1:18" ht="15" customHeight="1">
      <c r="A11" s="11"/>
      <c r="B11" s="12"/>
      <c r="C11" s="12"/>
      <c r="D11" s="12"/>
      <c r="E11" s="13"/>
      <c r="F11" s="13"/>
      <c r="G11" s="14"/>
      <c r="H11" s="14"/>
      <c r="K11" s="11" t="s">
        <v>24</v>
      </c>
      <c r="L11" s="12">
        <f>SUM(L9:L10)</f>
        <v>5934.4</v>
      </c>
      <c r="M11" s="12">
        <f>SUM(M9:M10)</f>
        <v>6226.79</v>
      </c>
      <c r="N11" s="13">
        <f>SUM(N9:N10)</f>
        <v>5668.8</v>
      </c>
      <c r="O11" s="13">
        <f>SUM(O9:O10)</f>
        <v>323.3</v>
      </c>
      <c r="P11" s="13">
        <f>(SUM(P9:P10))</f>
        <v>732</v>
      </c>
      <c r="Q11" s="14">
        <f>(SUM(Q9:Q10))</f>
        <v>2572.9</v>
      </c>
    </row>
    <row r="12" spans="1:18" ht="15" customHeight="1">
      <c r="A12" s="19" t="s">
        <v>25</v>
      </c>
      <c r="B12" s="24">
        <f t="shared" ref="B12:H12" si="2">B4-B7</f>
        <v>112.91</v>
      </c>
      <c r="C12" s="24">
        <f t="shared" si="2"/>
        <v>454.83</v>
      </c>
      <c r="D12" s="24">
        <f t="shared" si="2"/>
        <v>1631.2</v>
      </c>
      <c r="E12" s="25">
        <f t="shared" si="2"/>
        <v>1925</v>
      </c>
      <c r="F12" s="25">
        <f t="shared" si="2"/>
        <v>2084.1999999999998</v>
      </c>
      <c r="G12" s="26">
        <f t="shared" si="2"/>
        <v>2180.1999999999998</v>
      </c>
      <c r="H12" s="26">
        <f t="shared" si="2"/>
        <v>468.59999999999991</v>
      </c>
      <c r="K12" s="20" t="s">
        <v>26</v>
      </c>
      <c r="L12" s="21">
        <f t="shared" ref="L12:Q12" si="3">L7+L68+L9</f>
        <v>10654.59</v>
      </c>
      <c r="M12" s="21">
        <f t="shared" si="3"/>
        <v>10394.379999999999</v>
      </c>
      <c r="N12" s="21">
        <f t="shared" si="3"/>
        <v>11391.5</v>
      </c>
      <c r="O12" s="21">
        <f t="shared" si="3"/>
        <v>13222.5</v>
      </c>
      <c r="P12" s="21">
        <f t="shared" si="3"/>
        <v>15027.5</v>
      </c>
      <c r="Q12" s="22">
        <f t="shared" si="3"/>
        <v>17964.2</v>
      </c>
    </row>
    <row r="13" spans="1:18" ht="15" customHeight="1">
      <c r="A13" s="27" t="s">
        <v>27</v>
      </c>
      <c r="B13" s="28">
        <f t="shared" ref="B13:G13" si="4">B12/B4</f>
        <v>6.3138175921266096E-2</v>
      </c>
      <c r="C13" s="28">
        <f t="shared" si="4"/>
        <v>0.178350717590777</v>
      </c>
      <c r="D13" s="28">
        <f t="shared" si="4"/>
        <v>0.31956117151532998</v>
      </c>
      <c r="E13" s="28">
        <f t="shared" si="4"/>
        <v>0.33248700278080001</v>
      </c>
      <c r="F13" s="28">
        <f t="shared" si="4"/>
        <v>0.33006572175152399</v>
      </c>
      <c r="G13" s="29">
        <f t="shared" si="4"/>
        <v>0.30825132903517699</v>
      </c>
      <c r="H13" s="18" t="s">
        <v>13</v>
      </c>
      <c r="K13" s="20" t="s">
        <v>28</v>
      </c>
      <c r="L13" s="21">
        <f t="shared" ref="L13:Q13" si="5">L70-L56-L10</f>
        <v>10654.59</v>
      </c>
      <c r="M13" s="21">
        <f t="shared" si="5"/>
        <v>10394.379999999999</v>
      </c>
      <c r="N13" s="21">
        <f t="shared" si="5"/>
        <v>11391.5</v>
      </c>
      <c r="O13" s="21">
        <f t="shared" si="5"/>
        <v>13222.5</v>
      </c>
      <c r="P13" s="21">
        <f t="shared" si="5"/>
        <v>15027.5</v>
      </c>
      <c r="Q13" s="22">
        <f t="shared" si="5"/>
        <v>17964.2</v>
      </c>
      <c r="R13" s="30">
        <f>O12-O13</f>
        <v>0</v>
      </c>
    </row>
    <row r="14" spans="1:18" ht="15" customHeight="1">
      <c r="A14" s="27" t="s">
        <v>11</v>
      </c>
      <c r="B14" s="31" t="s">
        <v>12</v>
      </c>
      <c r="C14" s="28">
        <f>C12/B12-1</f>
        <v>3.02825259055885</v>
      </c>
      <c r="D14" s="28" t="s">
        <v>12</v>
      </c>
      <c r="E14" s="28" t="e">
        <f>E12/#REF!-1</f>
        <v>#REF!</v>
      </c>
      <c r="F14" s="28">
        <f>F12/E12-1</f>
        <v>8.2701298701298498E-2</v>
      </c>
      <c r="G14" s="29">
        <f>G12/F12-1</f>
        <v>4.6060838691104597E-2</v>
      </c>
      <c r="H14" s="18" t="s">
        <v>13</v>
      </c>
      <c r="K14" s="11"/>
      <c r="L14" s="12"/>
      <c r="M14" s="12"/>
      <c r="N14" s="12"/>
      <c r="O14" s="12"/>
      <c r="P14" s="12"/>
      <c r="Q14" s="23"/>
    </row>
    <row r="15" spans="1:18" ht="15" customHeight="1">
      <c r="A15" s="27" t="s">
        <v>15</v>
      </c>
      <c r="B15" s="31" t="s">
        <v>12</v>
      </c>
      <c r="C15" s="28" t="s">
        <v>12</v>
      </c>
      <c r="D15" s="28" t="s">
        <v>12</v>
      </c>
      <c r="E15" s="28" t="s">
        <v>12</v>
      </c>
      <c r="F15" s="28" t="s">
        <v>12</v>
      </c>
      <c r="G15" s="29" t="e">
        <f>((G12/#REF!)^(1/3))-1</f>
        <v>#REF!</v>
      </c>
      <c r="H15" s="18" t="s">
        <v>13</v>
      </c>
      <c r="K15" s="11" t="s">
        <v>29</v>
      </c>
      <c r="L15" s="12"/>
      <c r="M15" s="12"/>
      <c r="N15" s="13"/>
      <c r="O15" s="13"/>
      <c r="P15" s="13"/>
      <c r="Q15" s="14"/>
    </row>
    <row r="16" spans="1:18" ht="15" customHeight="1">
      <c r="A16" s="11"/>
      <c r="G16" s="32"/>
      <c r="H16" s="33"/>
      <c r="K16" s="11" t="s">
        <v>30</v>
      </c>
      <c r="L16" s="12">
        <v>8425.35</v>
      </c>
      <c r="M16" s="12">
        <v>8254.5</v>
      </c>
      <c r="N16" s="13">
        <v>8193.65</v>
      </c>
      <c r="O16" s="13">
        <v>8320.7999999999993</v>
      </c>
      <c r="P16" s="13">
        <v>9371.6</v>
      </c>
      <c r="Q16" s="14">
        <v>12384.9</v>
      </c>
      <c r="R16" s="34"/>
    </row>
    <row r="17" spans="1:18" ht="15" customHeight="1">
      <c r="A17" s="11" t="s">
        <v>31</v>
      </c>
      <c r="B17" s="12">
        <v>114.6</v>
      </c>
      <c r="C17" s="12">
        <v>128.1</v>
      </c>
      <c r="D17" s="12">
        <v>139.80000000000001</v>
      </c>
      <c r="E17" s="13">
        <v>127.4</v>
      </c>
      <c r="F17" s="13">
        <f>87.5+131.5</f>
        <v>219</v>
      </c>
      <c r="G17" s="14">
        <v>57.2</v>
      </c>
      <c r="H17">
        <v>47.9</v>
      </c>
      <c r="K17" s="11" t="s">
        <v>32</v>
      </c>
      <c r="L17" s="12">
        <v>274.5</v>
      </c>
      <c r="M17" s="12">
        <v>292.29000000000002</v>
      </c>
      <c r="N17" s="13">
        <v>345.69</v>
      </c>
      <c r="O17" s="13">
        <v>574.79999999999995</v>
      </c>
      <c r="P17" s="13">
        <v>748.1</v>
      </c>
      <c r="Q17" s="14">
        <v>803.6</v>
      </c>
      <c r="R17" s="34"/>
    </row>
    <row r="18" spans="1:18" ht="15" customHeight="1">
      <c r="A18" s="11" t="s">
        <v>33</v>
      </c>
      <c r="B18" s="12">
        <v>377</v>
      </c>
      <c r="C18" s="12">
        <v>400.72</v>
      </c>
      <c r="D18" s="12">
        <v>493</v>
      </c>
      <c r="E18" s="13">
        <v>505.4</v>
      </c>
      <c r="F18" s="13">
        <v>617.70000000000005</v>
      </c>
      <c r="G18" s="14">
        <v>743.8</v>
      </c>
      <c r="H18">
        <v>210.79999999999998</v>
      </c>
      <c r="K18" s="11" t="s">
        <v>34</v>
      </c>
      <c r="L18" s="12">
        <v>1202.5999999999999</v>
      </c>
      <c r="M18" s="12">
        <v>1253.99</v>
      </c>
      <c r="N18" s="13">
        <v>1423.89</v>
      </c>
      <c r="O18" s="13">
        <v>1573.9</v>
      </c>
      <c r="P18" s="13">
        <v>2699.6</v>
      </c>
      <c r="Q18" s="14">
        <v>2861.5</v>
      </c>
    </row>
    <row r="19" spans="1:18" ht="15" customHeight="1">
      <c r="A19" s="11" t="s">
        <v>35</v>
      </c>
      <c r="B19" s="12">
        <v>568.79999999999995</v>
      </c>
      <c r="C19" s="12">
        <v>600.1</v>
      </c>
      <c r="D19" s="12">
        <v>623.29999999999995</v>
      </c>
      <c r="E19" s="13">
        <v>660.4</v>
      </c>
      <c r="F19" s="13">
        <v>204.4</v>
      </c>
      <c r="G19" s="14">
        <v>298.89999999999998</v>
      </c>
      <c r="H19">
        <v>103.69999999999999</v>
      </c>
      <c r="K19" s="11" t="s">
        <v>36</v>
      </c>
      <c r="L19" s="12">
        <v>1414.4</v>
      </c>
      <c r="M19" s="12">
        <v>1406.77</v>
      </c>
      <c r="N19" s="13">
        <v>1814.87</v>
      </c>
      <c r="O19" s="13">
        <v>1806</v>
      </c>
      <c r="P19" s="13">
        <v>0</v>
      </c>
      <c r="Q19" s="14">
        <v>0</v>
      </c>
    </row>
    <row r="20" spans="1:18" ht="15.75" customHeight="1">
      <c r="A20" s="11" t="s">
        <v>37</v>
      </c>
      <c r="B20" s="35"/>
      <c r="C20" s="35"/>
      <c r="D20" s="35"/>
      <c r="E20" s="35"/>
      <c r="F20" s="13"/>
      <c r="G20" s="14"/>
      <c r="H20" s="14"/>
      <c r="K20" s="11" t="s">
        <v>38</v>
      </c>
      <c r="L20" s="12">
        <v>296.8</v>
      </c>
      <c r="M20" s="12">
        <v>277.62</v>
      </c>
      <c r="N20" s="13">
        <v>261.22000000000003</v>
      </c>
      <c r="O20" s="13">
        <v>250</v>
      </c>
      <c r="P20" s="36">
        <v>240.7</v>
      </c>
      <c r="Q20" s="37">
        <v>242.1</v>
      </c>
    </row>
    <row r="21" spans="1:18" ht="15" customHeight="1">
      <c r="A21" s="11" t="s">
        <v>39</v>
      </c>
      <c r="B21" s="12"/>
      <c r="C21" s="12"/>
      <c r="D21" s="12"/>
      <c r="E21" s="13"/>
      <c r="F21" s="13"/>
      <c r="G21" s="38"/>
      <c r="H21" s="38"/>
      <c r="K21" s="11" t="s">
        <v>40</v>
      </c>
      <c r="L21" s="12">
        <v>228.1</v>
      </c>
      <c r="M21" s="12">
        <v>228.1</v>
      </c>
      <c r="N21" s="13">
        <v>228.1</v>
      </c>
      <c r="O21" s="13">
        <v>228.1</v>
      </c>
      <c r="P21" s="36">
        <v>228.1</v>
      </c>
      <c r="Q21" s="37">
        <v>228.1</v>
      </c>
    </row>
    <row r="22" spans="1:18" ht="15" customHeight="1">
      <c r="A22" s="11" t="s">
        <v>41</v>
      </c>
      <c r="B22" s="12">
        <v>-150.69999999999999</v>
      </c>
      <c r="C22" s="12">
        <v>0</v>
      </c>
      <c r="D22" s="12">
        <v>0</v>
      </c>
      <c r="E22" s="13">
        <v>0</v>
      </c>
      <c r="F22" s="13">
        <v>0</v>
      </c>
      <c r="G22" s="14">
        <v>38.700000000000003</v>
      </c>
      <c r="H22" s="14">
        <v>0</v>
      </c>
      <c r="K22" s="11" t="s">
        <v>42</v>
      </c>
      <c r="L22" s="12"/>
      <c r="M22" s="12"/>
      <c r="N22" s="13"/>
      <c r="O22" s="39"/>
      <c r="P22" s="39"/>
      <c r="Q22" s="40"/>
    </row>
    <row r="23" spans="1:18" ht="15" customHeight="1">
      <c r="A23" s="41" t="s">
        <v>43</v>
      </c>
      <c r="B23" s="42">
        <f t="shared" ref="B23:H23" si="6">+B12+B17-B18-B19-B22</f>
        <v>-567.59</v>
      </c>
      <c r="C23" s="42">
        <f t="shared" si="6"/>
        <v>-417.89</v>
      </c>
      <c r="D23" s="42">
        <f t="shared" si="6"/>
        <v>654.70000000000005</v>
      </c>
      <c r="E23" s="42">
        <f t="shared" si="6"/>
        <v>886.6</v>
      </c>
      <c r="F23" s="42">
        <f t="shared" si="6"/>
        <v>1481.1</v>
      </c>
      <c r="G23" s="43">
        <f t="shared" si="6"/>
        <v>1156</v>
      </c>
      <c r="H23" s="43">
        <f t="shared" si="6"/>
        <v>201.99999999999994</v>
      </c>
      <c r="K23" s="44" t="s">
        <v>44</v>
      </c>
      <c r="L23" s="12">
        <v>0</v>
      </c>
      <c r="M23" s="12">
        <v>0</v>
      </c>
      <c r="N23" s="13">
        <v>0</v>
      </c>
      <c r="O23" s="13">
        <v>0</v>
      </c>
      <c r="P23" s="13">
        <v>0</v>
      </c>
      <c r="Q23" s="14">
        <v>0</v>
      </c>
    </row>
    <row r="24" spans="1:18" ht="15" customHeight="1">
      <c r="A24" s="11" t="s">
        <v>45</v>
      </c>
      <c r="B24" s="12">
        <v>-109.2</v>
      </c>
      <c r="C24" s="12">
        <v>-135.87</v>
      </c>
      <c r="D24" s="12">
        <v>174</v>
      </c>
      <c r="E24" s="13">
        <v>198.9</v>
      </c>
      <c r="F24" s="13">
        <v>645.1</v>
      </c>
      <c r="G24" s="14">
        <v>498.8</v>
      </c>
      <c r="H24">
        <v>87.100000000000009</v>
      </c>
      <c r="K24" s="44" t="s">
        <v>46</v>
      </c>
      <c r="L24" s="12">
        <v>0.2</v>
      </c>
      <c r="M24" s="12">
        <v>0.2</v>
      </c>
      <c r="N24" s="13">
        <v>0.2</v>
      </c>
      <c r="O24" s="13">
        <v>0.2</v>
      </c>
      <c r="P24" s="13">
        <v>0.2</v>
      </c>
      <c r="Q24" s="14">
        <v>0.2</v>
      </c>
    </row>
    <row r="25" spans="1:18" ht="15" customHeight="1">
      <c r="A25" s="45" t="s">
        <v>47</v>
      </c>
      <c r="B25" s="46">
        <f t="shared" ref="B25:H25" si="7">B24/B23</f>
        <v>0.19239239591959001</v>
      </c>
      <c r="C25" s="46">
        <f t="shared" si="7"/>
        <v>0.32513340831319198</v>
      </c>
      <c r="D25" s="46">
        <f t="shared" si="7"/>
        <v>0.26577058194593001</v>
      </c>
      <c r="E25" s="46">
        <f t="shared" si="7"/>
        <v>0.22434017595307901</v>
      </c>
      <c r="F25" s="46">
        <f t="shared" si="7"/>
        <v>0.43555465532374599</v>
      </c>
      <c r="G25" s="47">
        <f t="shared" si="7"/>
        <v>0.43148788927335702</v>
      </c>
      <c r="H25" s="47">
        <f t="shared" si="7"/>
        <v>0.43118811881188135</v>
      </c>
      <c r="K25" s="44" t="s">
        <v>48</v>
      </c>
      <c r="L25" s="12">
        <v>88.8</v>
      </c>
      <c r="M25" s="12">
        <v>61.5</v>
      </c>
      <c r="N25" s="13">
        <v>62.6</v>
      </c>
      <c r="O25" s="13">
        <v>63</v>
      </c>
      <c r="P25" s="13">
        <v>63</v>
      </c>
      <c r="Q25" s="14">
        <v>0</v>
      </c>
    </row>
    <row r="26" spans="1:18" ht="15" customHeight="1">
      <c r="A26" s="11" t="s">
        <v>49</v>
      </c>
      <c r="B26" s="12">
        <f t="shared" ref="B26:H26" si="8">B23-B24</f>
        <v>-458.39</v>
      </c>
      <c r="C26" s="12">
        <f t="shared" si="8"/>
        <v>-282.02</v>
      </c>
      <c r="D26" s="12">
        <f t="shared" si="8"/>
        <v>480.7</v>
      </c>
      <c r="E26" s="13">
        <f t="shared" si="8"/>
        <v>687.7</v>
      </c>
      <c r="F26" s="13">
        <f t="shared" si="8"/>
        <v>836</v>
      </c>
      <c r="G26" s="14">
        <f t="shared" si="8"/>
        <v>657.2</v>
      </c>
      <c r="H26" s="14">
        <f t="shared" si="8"/>
        <v>114.89999999999993</v>
      </c>
      <c r="K26" s="44" t="s">
        <v>50</v>
      </c>
      <c r="L26" s="12">
        <v>140.9</v>
      </c>
      <c r="M26" s="12">
        <v>136.69999999999999</v>
      </c>
      <c r="N26" s="13">
        <v>194.1</v>
      </c>
      <c r="O26" s="13">
        <v>201.6</v>
      </c>
      <c r="P26" s="13">
        <v>362.1</v>
      </c>
      <c r="Q26" s="14">
        <v>397.2</v>
      </c>
    </row>
    <row r="27" spans="1:18" ht="15" customHeight="1">
      <c r="A27" s="27" t="s">
        <v>51</v>
      </c>
      <c r="B27" s="28">
        <f t="shared" ref="B27:H27" si="9">B26/(B4+B17)</f>
        <v>-0.24089022019023601</v>
      </c>
      <c r="C27" s="28">
        <f t="shared" si="9"/>
        <v>-0.10529813687787</v>
      </c>
      <c r="D27" s="28">
        <f t="shared" si="9"/>
        <v>9.1661422878172499E-2</v>
      </c>
      <c r="E27" s="28">
        <f t="shared" si="9"/>
        <v>0.116222473846986</v>
      </c>
      <c r="F27" s="28">
        <f t="shared" si="9"/>
        <v>0.12795591949185001</v>
      </c>
      <c r="G27" s="29">
        <f t="shared" si="9"/>
        <v>9.2173913043478203E-2</v>
      </c>
      <c r="H27" s="29">
        <f t="shared" si="9"/>
        <v>6.6969749956286018E-2</v>
      </c>
      <c r="K27" s="11" t="s">
        <v>52</v>
      </c>
      <c r="L27" s="12">
        <v>36.64</v>
      </c>
      <c r="M27" s="12">
        <v>65.19</v>
      </c>
      <c r="N27" s="13">
        <v>20.9</v>
      </c>
      <c r="O27" s="13">
        <v>38.9</v>
      </c>
      <c r="P27" s="13">
        <v>69.599999999999994</v>
      </c>
      <c r="Q27" s="14">
        <v>204</v>
      </c>
    </row>
    <row r="28" spans="1:18" ht="15" customHeight="1">
      <c r="A28" s="27" t="s">
        <v>11</v>
      </c>
      <c r="B28" s="31" t="s">
        <v>12</v>
      </c>
      <c r="C28" s="28">
        <f>C26/B26-1</f>
        <v>-0.38475970243678898</v>
      </c>
      <c r="D28" s="28" t="s">
        <v>12</v>
      </c>
      <c r="E28" s="28" t="e">
        <f>E26/#REF!-1</f>
        <v>#REF!</v>
      </c>
      <c r="F28" s="28">
        <f>F26/E26-1</f>
        <v>0.21564635742329499</v>
      </c>
      <c r="G28" s="29">
        <f>G26/F26-1</f>
        <v>-0.213875598086124</v>
      </c>
      <c r="H28" s="29">
        <f>H26/G26-1</f>
        <v>-0.82516737674984797</v>
      </c>
      <c r="K28" s="11" t="s">
        <v>53</v>
      </c>
      <c r="L28" s="12">
        <v>112.5</v>
      </c>
      <c r="M28" s="12">
        <v>106.9</v>
      </c>
      <c r="N28" s="13">
        <v>144.80000000000001</v>
      </c>
      <c r="O28" s="13">
        <v>221</v>
      </c>
      <c r="P28" s="13">
        <v>198.7</v>
      </c>
      <c r="Q28" s="14">
        <v>255.6</v>
      </c>
    </row>
    <row r="29" spans="1:18" ht="15" customHeight="1">
      <c r="A29" s="27" t="s">
        <v>15</v>
      </c>
      <c r="B29" s="31" t="s">
        <v>12</v>
      </c>
      <c r="C29" s="28" t="s">
        <v>12</v>
      </c>
      <c r="D29" s="28" t="s">
        <v>12</v>
      </c>
      <c r="E29" s="28" t="s">
        <v>12</v>
      </c>
      <c r="F29" s="28" t="s">
        <v>12</v>
      </c>
      <c r="G29" s="29" t="e">
        <f>((G26/#REF!)^(1/3))-1</f>
        <v>#REF!</v>
      </c>
      <c r="H29" s="29"/>
      <c r="K29" s="11"/>
      <c r="L29" s="12"/>
      <c r="M29" s="12"/>
      <c r="N29" s="12"/>
      <c r="O29" s="12"/>
      <c r="P29" s="12"/>
      <c r="Q29" s="23"/>
    </row>
    <row r="30" spans="1:18" ht="15" customHeight="1">
      <c r="A30" s="11" t="s">
        <v>54</v>
      </c>
      <c r="B30" s="12">
        <v>-4.34</v>
      </c>
      <c r="C30" s="12">
        <v>-1.61</v>
      </c>
      <c r="D30" s="1">
        <v>2.75</v>
      </c>
      <c r="E30" s="1">
        <v>3.82</v>
      </c>
      <c r="F30" s="1">
        <v>3.92</v>
      </c>
      <c r="G30" s="48">
        <v>3.08</v>
      </c>
      <c r="H30" s="48">
        <v>0.54</v>
      </c>
      <c r="K30" s="20" t="s">
        <v>55</v>
      </c>
      <c r="L30" s="21">
        <f t="shared" ref="L30:Q30" si="10">SUM(L16:L28)</f>
        <v>12220.79</v>
      </c>
      <c r="M30" s="21">
        <f t="shared" si="10"/>
        <v>12083.76</v>
      </c>
      <c r="N30" s="21">
        <f t="shared" si="10"/>
        <v>12690.02</v>
      </c>
      <c r="O30" s="21">
        <f t="shared" si="10"/>
        <v>13278.3</v>
      </c>
      <c r="P30" s="21">
        <f t="shared" si="10"/>
        <v>13981.7</v>
      </c>
      <c r="Q30" s="22">
        <f t="shared" si="10"/>
        <v>17377.2</v>
      </c>
    </row>
    <row r="31" spans="1:18" ht="15" customHeight="1">
      <c r="A31" s="44" t="s">
        <v>56</v>
      </c>
      <c r="B31" s="12">
        <v>-4.34</v>
      </c>
      <c r="C31" s="12">
        <v>-1.61</v>
      </c>
      <c r="D31" s="12">
        <v>2.75</v>
      </c>
      <c r="E31" s="13">
        <v>3.82</v>
      </c>
      <c r="F31" s="13">
        <v>3.92</v>
      </c>
      <c r="G31" s="14">
        <v>3.08</v>
      </c>
      <c r="H31" s="14">
        <v>0.54</v>
      </c>
      <c r="K31" s="11"/>
      <c r="L31" s="12"/>
      <c r="M31" s="12"/>
      <c r="N31" s="12"/>
      <c r="O31" s="12"/>
      <c r="P31" s="12"/>
      <c r="Q31" s="23"/>
    </row>
    <row r="32" spans="1:18" ht="15" customHeight="1">
      <c r="A32" s="27" t="s">
        <v>11</v>
      </c>
      <c r="B32" s="31" t="s">
        <v>12</v>
      </c>
      <c r="C32" s="28">
        <f>C31/B31-1</f>
        <v>-0.62903225806451601</v>
      </c>
      <c r="D32" s="31" t="s">
        <v>12</v>
      </c>
      <c r="E32" s="28" t="e">
        <f>E31/#REF!-1</f>
        <v>#REF!</v>
      </c>
      <c r="F32" s="28">
        <f>F31/E31-1</f>
        <v>2.6178010471204199E-2</v>
      </c>
      <c r="G32" s="29">
        <f>G31/F31-1</f>
        <v>-0.214285714285714</v>
      </c>
      <c r="H32" s="29">
        <f>H31/G31-1</f>
        <v>-0.82467532467532501</v>
      </c>
      <c r="K32" s="11" t="s">
        <v>57</v>
      </c>
      <c r="L32" s="12"/>
      <c r="M32" s="12"/>
      <c r="N32" s="12"/>
      <c r="O32" s="12"/>
      <c r="P32" s="12"/>
      <c r="Q32" s="23"/>
    </row>
    <row r="33" spans="1:18" ht="15" customHeight="1">
      <c r="A33" s="27" t="s">
        <v>15</v>
      </c>
      <c r="B33" s="31" t="s">
        <v>12</v>
      </c>
      <c r="C33" s="31" t="s">
        <v>12</v>
      </c>
      <c r="D33" s="31" t="s">
        <v>12</v>
      </c>
      <c r="E33" s="31" t="s">
        <v>12</v>
      </c>
      <c r="F33" s="31" t="s">
        <v>12</v>
      </c>
      <c r="G33" s="29" t="e">
        <f>((G31/#REF!)^(1/3))-1</f>
        <v>#REF!</v>
      </c>
      <c r="H33" s="29"/>
      <c r="K33" s="11" t="s">
        <v>58</v>
      </c>
      <c r="L33" s="12">
        <v>99.2</v>
      </c>
      <c r="M33" s="12">
        <v>100.6</v>
      </c>
      <c r="N33" s="12">
        <v>134.78</v>
      </c>
      <c r="O33" s="13">
        <v>152.5</v>
      </c>
      <c r="P33" s="13">
        <v>1117.8</v>
      </c>
      <c r="Q33" s="14">
        <v>1140.3</v>
      </c>
      <c r="R33" s="39"/>
    </row>
    <row r="34" spans="1:18" ht="15" customHeight="1">
      <c r="A34" s="11"/>
      <c r="G34" s="48"/>
      <c r="H34" s="48"/>
      <c r="K34" s="11" t="s">
        <v>42</v>
      </c>
      <c r="L34" s="12"/>
      <c r="M34" s="12"/>
      <c r="N34" s="12"/>
      <c r="O34" s="13"/>
      <c r="P34" s="13"/>
      <c r="Q34" s="14"/>
      <c r="R34" s="39"/>
    </row>
    <row r="35" spans="1:18" ht="15" customHeight="1">
      <c r="A35" s="49" t="s">
        <v>59</v>
      </c>
      <c r="B35" s="9" t="s">
        <v>4</v>
      </c>
      <c r="C35" s="8">
        <v>22</v>
      </c>
      <c r="D35" s="8">
        <v>23</v>
      </c>
      <c r="E35" s="8">
        <v>24</v>
      </c>
      <c r="F35" s="9" t="s">
        <v>60</v>
      </c>
      <c r="G35" s="10" t="s">
        <v>6</v>
      </c>
      <c r="H35" s="6"/>
      <c r="K35" s="44" t="s">
        <v>61</v>
      </c>
      <c r="L35" s="12">
        <v>0</v>
      </c>
      <c r="M35" s="12">
        <v>0</v>
      </c>
      <c r="N35" s="12">
        <v>0</v>
      </c>
      <c r="O35" s="13">
        <v>0</v>
      </c>
      <c r="P35" s="13">
        <v>561.29999999999995</v>
      </c>
      <c r="Q35" s="14">
        <v>771.9</v>
      </c>
      <c r="R35" s="39"/>
    </row>
    <row r="36" spans="1:18" ht="15" customHeight="1">
      <c r="A36" s="11" t="s">
        <v>62</v>
      </c>
      <c r="B36" s="12">
        <v>137.1</v>
      </c>
      <c r="C36" s="12">
        <v>97.5</v>
      </c>
      <c r="D36" s="12">
        <v>85.4</v>
      </c>
      <c r="E36" s="13" t="e">
        <f>+#REF!</f>
        <v>#REF!</v>
      </c>
      <c r="F36" s="13" t="e">
        <f t="shared" ref="F36:G36" si="11">+E43</f>
        <v>#REF!</v>
      </c>
      <c r="G36" s="14" t="e">
        <f t="shared" si="11"/>
        <v>#REF!</v>
      </c>
      <c r="H36" s="14"/>
      <c r="K36" s="44" t="s">
        <v>63</v>
      </c>
      <c r="L36" s="12">
        <v>195.4</v>
      </c>
      <c r="M36" s="12">
        <v>190.2</v>
      </c>
      <c r="N36" s="12">
        <v>261</v>
      </c>
      <c r="O36" s="13">
        <v>335.3</v>
      </c>
      <c r="P36" s="50">
        <v>384.8</v>
      </c>
      <c r="Q36" s="14">
        <v>414.2</v>
      </c>
      <c r="R36" s="39"/>
    </row>
    <row r="37" spans="1:18" ht="15" customHeight="1">
      <c r="A37" s="11"/>
      <c r="B37" s="12"/>
      <c r="C37" s="12"/>
      <c r="D37" s="12"/>
      <c r="E37" s="13"/>
      <c r="F37" s="13"/>
      <c r="G37" s="14"/>
      <c r="H37" s="14"/>
      <c r="K37" s="44" t="s">
        <v>64</v>
      </c>
      <c r="L37" s="12"/>
      <c r="M37" s="12"/>
      <c r="N37" s="12"/>
      <c r="O37" s="13"/>
      <c r="P37" s="39"/>
      <c r="Q37" s="40"/>
      <c r="R37" s="39"/>
    </row>
    <row r="38" spans="1:18" ht="15" customHeight="1">
      <c r="A38" s="44" t="s">
        <v>65</v>
      </c>
      <c r="B38" s="12">
        <v>266.06</v>
      </c>
      <c r="C38" s="12">
        <v>581.11</v>
      </c>
      <c r="D38" s="12">
        <v>1763.3</v>
      </c>
      <c r="E38" s="13">
        <v>1681.9</v>
      </c>
      <c r="F38" s="13">
        <v>1576.1</v>
      </c>
      <c r="G38" s="14">
        <v>1815.1</v>
      </c>
      <c r="H38" s="14"/>
      <c r="K38" s="51" t="s">
        <v>66</v>
      </c>
      <c r="L38" s="12">
        <v>100.4</v>
      </c>
      <c r="M38" s="12">
        <v>89.2</v>
      </c>
      <c r="N38" s="12">
        <v>168.7</v>
      </c>
      <c r="O38" s="13">
        <v>584.5</v>
      </c>
      <c r="P38" s="13">
        <v>206.7</v>
      </c>
      <c r="Q38" s="52">
        <v>238.1</v>
      </c>
      <c r="R38" s="39"/>
    </row>
    <row r="39" spans="1:18" ht="15" customHeight="1">
      <c r="A39" s="44" t="s">
        <v>67</v>
      </c>
      <c r="B39" s="12">
        <v>-253.06</v>
      </c>
      <c r="C39" s="12">
        <v>-221.08</v>
      </c>
      <c r="D39" s="12">
        <v>-421.3</v>
      </c>
      <c r="E39" s="13">
        <v>-1006.7</v>
      </c>
      <c r="F39" s="13">
        <v>-1955.6</v>
      </c>
      <c r="G39" s="14">
        <v>-3034.6</v>
      </c>
      <c r="H39" s="14"/>
      <c r="K39" s="51" t="s">
        <v>68</v>
      </c>
      <c r="L39" s="12">
        <v>3.4</v>
      </c>
      <c r="M39" s="12">
        <v>3.3</v>
      </c>
      <c r="N39" s="12">
        <v>3.5</v>
      </c>
      <c r="O39" s="13">
        <v>33.299999999999997</v>
      </c>
      <c r="P39" s="13">
        <v>7.6</v>
      </c>
      <c r="Q39" s="52">
        <v>4</v>
      </c>
      <c r="R39" s="39"/>
    </row>
    <row r="40" spans="1:18" ht="15" customHeight="1">
      <c r="A40" s="44" t="s">
        <v>69</v>
      </c>
      <c r="B40" s="12">
        <v>-52.6</v>
      </c>
      <c r="C40" s="12">
        <v>-372.13</v>
      </c>
      <c r="D40" s="12">
        <v>-1261.5999999999999</v>
      </c>
      <c r="E40" s="13">
        <v>-396.4</v>
      </c>
      <c r="F40" s="13">
        <v>41.7</v>
      </c>
      <c r="G40" s="14">
        <v>1150.8</v>
      </c>
      <c r="H40" s="14"/>
      <c r="K40" s="44" t="s">
        <v>70</v>
      </c>
      <c r="L40" s="12">
        <v>1</v>
      </c>
      <c r="M40" s="12">
        <v>0.5</v>
      </c>
      <c r="N40" s="12">
        <v>1.3</v>
      </c>
      <c r="O40" s="13">
        <v>2</v>
      </c>
      <c r="P40" s="13">
        <v>1.4</v>
      </c>
      <c r="Q40" s="14">
        <v>1.5</v>
      </c>
      <c r="R40" s="39"/>
    </row>
    <row r="41" spans="1:18" ht="15" customHeight="1">
      <c r="A41" s="11"/>
      <c r="B41" s="12"/>
      <c r="C41" s="12"/>
      <c r="D41" s="12"/>
      <c r="E41" s="13"/>
      <c r="F41" s="13"/>
      <c r="G41" s="14"/>
      <c r="H41" s="14"/>
      <c r="K41" s="44" t="s">
        <v>71</v>
      </c>
      <c r="L41" s="12">
        <v>59.7</v>
      </c>
      <c r="M41" s="12">
        <v>64</v>
      </c>
      <c r="N41" s="12">
        <v>58.9</v>
      </c>
      <c r="O41" s="13">
        <v>86.3</v>
      </c>
      <c r="P41" s="13">
        <v>78</v>
      </c>
      <c r="Q41" s="14">
        <v>71</v>
      </c>
      <c r="R41" s="39"/>
    </row>
    <row r="42" spans="1:18" ht="15" customHeight="1">
      <c r="A42" s="53" t="s">
        <v>72</v>
      </c>
      <c r="B42" s="54">
        <f>SUM(B38:B41)</f>
        <v>-39.6</v>
      </c>
      <c r="C42" s="54">
        <f>SUM(C38:C41)</f>
        <v>-12.1</v>
      </c>
      <c r="D42" s="54">
        <f>SUM(D38:D41)-0.1</f>
        <v>80.300000000000097</v>
      </c>
      <c r="E42" s="55">
        <f>SUM(E38:E41)</f>
        <v>278.8</v>
      </c>
      <c r="F42" s="55">
        <f>SUM(F38:F41)-0.1</f>
        <v>-337.9</v>
      </c>
      <c r="G42" s="56">
        <f>SUM(G38:G41)</f>
        <v>-68.7</v>
      </c>
      <c r="H42" s="56"/>
      <c r="I42" s="57"/>
      <c r="J42" s="57"/>
      <c r="K42" s="44" t="s">
        <v>73</v>
      </c>
      <c r="L42" s="12">
        <v>0</v>
      </c>
      <c r="M42" s="12">
        <v>0</v>
      </c>
      <c r="N42" s="12">
        <v>0</v>
      </c>
      <c r="O42" s="13">
        <v>0</v>
      </c>
      <c r="P42" s="13">
        <v>6.5</v>
      </c>
      <c r="Q42" s="14">
        <v>0</v>
      </c>
      <c r="R42" s="39"/>
    </row>
    <row r="43" spans="1:18" ht="15" customHeight="1">
      <c r="A43" s="58" t="s">
        <v>74</v>
      </c>
      <c r="B43" s="59">
        <f t="shared" ref="B43:G43" si="12">B36+B42</f>
        <v>97.5</v>
      </c>
      <c r="C43" s="59">
        <f t="shared" si="12"/>
        <v>85.4</v>
      </c>
      <c r="D43" s="59">
        <f t="shared" si="12"/>
        <v>165.7</v>
      </c>
      <c r="E43" s="59" t="e">
        <f t="shared" si="12"/>
        <v>#REF!</v>
      </c>
      <c r="F43" s="59" t="e">
        <f t="shared" si="12"/>
        <v>#REF!</v>
      </c>
      <c r="G43" s="60" t="e">
        <f t="shared" si="12"/>
        <v>#REF!</v>
      </c>
      <c r="H43" s="60"/>
      <c r="K43" s="11" t="s">
        <v>75</v>
      </c>
      <c r="L43" s="12">
        <v>123.5</v>
      </c>
      <c r="M43" s="12">
        <v>220.2</v>
      </c>
      <c r="N43" s="12">
        <v>299.7</v>
      </c>
      <c r="O43" s="13">
        <v>295.8</v>
      </c>
      <c r="P43" s="13">
        <v>368.6</v>
      </c>
      <c r="Q43" s="14">
        <v>524.29999999999995</v>
      </c>
    </row>
    <row r="44" spans="1:18" ht="15" customHeight="1">
      <c r="A44" s="11"/>
      <c r="G44" s="48"/>
      <c r="H44" s="48"/>
      <c r="K44" s="11"/>
      <c r="L44" s="12"/>
      <c r="M44" s="12"/>
      <c r="N44" s="12"/>
      <c r="O44" s="12"/>
      <c r="P44" s="12"/>
      <c r="Q44" s="23"/>
    </row>
    <row r="45" spans="1:18" ht="15" customHeight="1">
      <c r="A45" s="49" t="s">
        <v>76</v>
      </c>
      <c r="B45" s="9" t="s">
        <v>4</v>
      </c>
      <c r="C45" s="8">
        <v>22</v>
      </c>
      <c r="D45" s="8">
        <v>23</v>
      </c>
      <c r="E45" s="8">
        <v>24</v>
      </c>
      <c r="F45" s="9" t="s">
        <v>5</v>
      </c>
      <c r="G45" s="10" t="s">
        <v>6</v>
      </c>
      <c r="H45" s="6"/>
      <c r="K45" s="20" t="s">
        <v>77</v>
      </c>
      <c r="L45" s="21">
        <f t="shared" ref="L45:Q45" si="13">SUM(L33:L43)</f>
        <v>582.6</v>
      </c>
      <c r="M45" s="21">
        <f t="shared" si="13"/>
        <v>668</v>
      </c>
      <c r="N45" s="21">
        <f t="shared" si="13"/>
        <v>927.88</v>
      </c>
      <c r="O45" s="21">
        <f t="shared" si="13"/>
        <v>1489.7</v>
      </c>
      <c r="P45" s="21">
        <f t="shared" si="13"/>
        <v>2732.7</v>
      </c>
      <c r="Q45" s="22">
        <f t="shared" si="13"/>
        <v>3165.3</v>
      </c>
    </row>
    <row r="46" spans="1:18" ht="15" customHeight="1">
      <c r="A46" s="11" t="s">
        <v>78</v>
      </c>
      <c r="B46" s="12">
        <f t="shared" ref="B46:G46" si="14">+B38</f>
        <v>266.06</v>
      </c>
      <c r="C46" s="12">
        <f t="shared" si="14"/>
        <v>581.11</v>
      </c>
      <c r="D46" s="12">
        <f t="shared" si="14"/>
        <v>1763.3</v>
      </c>
      <c r="E46" s="12">
        <f t="shared" si="14"/>
        <v>1681.9</v>
      </c>
      <c r="F46" s="12">
        <f t="shared" si="14"/>
        <v>1576.1</v>
      </c>
      <c r="G46" s="23">
        <f t="shared" si="14"/>
        <v>1815.1</v>
      </c>
      <c r="H46" s="23"/>
      <c r="K46" s="11"/>
      <c r="L46" s="12"/>
      <c r="M46" s="12"/>
      <c r="N46" s="12"/>
      <c r="O46" s="12"/>
      <c r="P46" s="12"/>
      <c r="Q46" s="23"/>
    </row>
    <row r="47" spans="1:18" ht="15" customHeight="1">
      <c r="A47" s="11" t="s">
        <v>79</v>
      </c>
      <c r="B47" s="12">
        <v>-413.76</v>
      </c>
      <c r="C47" s="12">
        <v>-273.98</v>
      </c>
      <c r="D47" s="12">
        <v>-420.65</v>
      </c>
      <c r="E47" s="12">
        <v>-1189.5999999999999</v>
      </c>
      <c r="F47" s="12">
        <v>-1509.9</v>
      </c>
      <c r="G47" s="14">
        <v>-2869.5</v>
      </c>
      <c r="H47" s="14"/>
      <c r="K47" s="11" t="s">
        <v>80</v>
      </c>
      <c r="L47" s="12"/>
      <c r="M47" s="12"/>
      <c r="N47" s="12"/>
      <c r="O47" s="12"/>
      <c r="P47" s="12"/>
      <c r="Q47" s="23"/>
    </row>
    <row r="48" spans="1:18" ht="15" customHeight="1">
      <c r="A48" s="20" t="s">
        <v>81</v>
      </c>
      <c r="B48" s="21">
        <f t="shared" ref="B48:G48" si="15">SUM(B46:B47)</f>
        <v>-147.69999999999999</v>
      </c>
      <c r="C48" s="21">
        <f t="shared" si="15"/>
        <v>307.13</v>
      </c>
      <c r="D48" s="59">
        <f t="shared" si="15"/>
        <v>1342.65</v>
      </c>
      <c r="E48" s="59">
        <f t="shared" si="15"/>
        <v>492.3</v>
      </c>
      <c r="F48" s="59">
        <f t="shared" si="15"/>
        <v>66.199999999999804</v>
      </c>
      <c r="G48" s="60">
        <f t="shared" si="15"/>
        <v>-1054.4000000000001</v>
      </c>
      <c r="H48" s="60"/>
      <c r="K48" s="11" t="s">
        <v>82</v>
      </c>
      <c r="L48" s="12"/>
      <c r="M48" s="12"/>
      <c r="N48" s="12"/>
      <c r="O48" s="12"/>
      <c r="P48" s="12"/>
      <c r="Q48" s="23"/>
    </row>
    <row r="49" spans="1:17" ht="15" customHeight="1">
      <c r="A49" s="11"/>
      <c r="G49" s="48"/>
      <c r="H49" s="48"/>
      <c r="K49" s="44" t="s">
        <v>83</v>
      </c>
      <c r="L49" s="12">
        <v>503.4</v>
      </c>
      <c r="M49" s="12">
        <v>444.09</v>
      </c>
      <c r="N49" s="12">
        <v>565.85</v>
      </c>
      <c r="O49" s="13">
        <v>484.5</v>
      </c>
      <c r="P49" s="13">
        <v>510.7</v>
      </c>
      <c r="Q49" s="14">
        <v>546.9</v>
      </c>
    </row>
    <row r="50" spans="1:17" ht="15" customHeight="1">
      <c r="A50" s="49" t="s">
        <v>76</v>
      </c>
      <c r="B50" s="9" t="s">
        <v>4</v>
      </c>
      <c r="C50" s="8">
        <v>22</v>
      </c>
      <c r="D50" s="8">
        <v>23</v>
      </c>
      <c r="E50" s="8">
        <v>24</v>
      </c>
      <c r="F50" s="9" t="s">
        <v>5</v>
      </c>
      <c r="G50" s="10" t="s">
        <v>6</v>
      </c>
      <c r="H50" s="10" t="s">
        <v>7</v>
      </c>
      <c r="K50" s="44" t="s">
        <v>84</v>
      </c>
      <c r="L50" s="12">
        <v>200.6</v>
      </c>
      <c r="M50" s="12">
        <v>211.1</v>
      </c>
      <c r="N50" s="12">
        <v>681.96</v>
      </c>
      <c r="O50" s="13">
        <v>371.6</v>
      </c>
      <c r="P50" s="13">
        <v>318</v>
      </c>
      <c r="Q50" s="14">
        <v>860.6</v>
      </c>
    </row>
    <row r="51" spans="1:17" ht="15" customHeight="1">
      <c r="A51" s="11" t="s">
        <v>85</v>
      </c>
      <c r="B51" s="12">
        <v>174.66</v>
      </c>
      <c r="C51" s="12">
        <v>174.66</v>
      </c>
      <c r="D51" s="12">
        <v>174.66</v>
      </c>
      <c r="E51" s="12">
        <v>213.4</v>
      </c>
      <c r="F51" s="13">
        <v>213.4</v>
      </c>
      <c r="G51" s="14">
        <f>213374246/10^6</f>
        <v>213.374246</v>
      </c>
      <c r="H51" s="14">
        <f>213374246/10^6</f>
        <v>213.374246</v>
      </c>
      <c r="K51" s="44" t="s">
        <v>86</v>
      </c>
      <c r="L51" s="12">
        <v>25.2</v>
      </c>
      <c r="M51" s="12">
        <v>46.2</v>
      </c>
      <c r="N51" s="12">
        <v>71.2</v>
      </c>
      <c r="O51" s="13">
        <v>102.7</v>
      </c>
      <c r="P51" s="13">
        <v>179.3</v>
      </c>
      <c r="Q51" s="14">
        <v>245.1</v>
      </c>
    </row>
    <row r="52" spans="1:17" ht="15" customHeight="1">
      <c r="A52" s="11" t="s">
        <v>87</v>
      </c>
      <c r="B52" s="12">
        <f>B51*L75</f>
        <v>0</v>
      </c>
      <c r="C52" s="12">
        <f>C51*M75</f>
        <v>0</v>
      </c>
      <c r="D52" s="12">
        <f>D51*L75</f>
        <v>0</v>
      </c>
      <c r="E52" s="12">
        <f>E51*O75</f>
        <v>40684.71</v>
      </c>
      <c r="F52" s="13">
        <f>F51*P75</f>
        <v>31241.759999999998</v>
      </c>
      <c r="G52" s="14">
        <f>G51*Q75</f>
        <v>20633.289588200001</v>
      </c>
      <c r="H52" s="14">
        <f>H51*R75</f>
        <v>25604.909520000001</v>
      </c>
      <c r="K52" s="11" t="s">
        <v>88</v>
      </c>
      <c r="L52" s="12">
        <v>92.4</v>
      </c>
      <c r="M52" s="12">
        <v>122.4</v>
      </c>
      <c r="N52" s="12">
        <v>145.6</v>
      </c>
      <c r="O52" s="13">
        <v>191.4</v>
      </c>
      <c r="P52" s="13">
        <v>224.5</v>
      </c>
      <c r="Q52" s="14">
        <v>219.8</v>
      </c>
    </row>
    <row r="53" spans="1:17" ht="15" customHeight="1">
      <c r="A53" s="11" t="s">
        <v>89</v>
      </c>
      <c r="B53" s="12">
        <f>L11</f>
        <v>5934.4</v>
      </c>
      <c r="C53" s="12">
        <f>M11</f>
        <v>6226.79</v>
      </c>
      <c r="D53" s="12">
        <f>L11</f>
        <v>5934.4</v>
      </c>
      <c r="E53" s="12">
        <f t="shared" ref="E53:H53" si="16">O11</f>
        <v>323.3</v>
      </c>
      <c r="F53" s="13">
        <f t="shared" si="16"/>
        <v>732</v>
      </c>
      <c r="G53" s="14">
        <f t="shared" si="16"/>
        <v>2572.9</v>
      </c>
      <c r="H53" s="14">
        <v>2572.9</v>
      </c>
      <c r="K53" s="11" t="s">
        <v>90</v>
      </c>
      <c r="L53" s="12">
        <v>89.2</v>
      </c>
      <c r="M53" s="12">
        <v>86.9</v>
      </c>
      <c r="N53" s="12">
        <v>103.19</v>
      </c>
      <c r="O53" s="13">
        <v>139.1</v>
      </c>
      <c r="P53" s="13">
        <v>90.2</v>
      </c>
      <c r="Q53" s="14">
        <v>106</v>
      </c>
    </row>
    <row r="54" spans="1:17" ht="15" customHeight="1">
      <c r="A54" s="11" t="s">
        <v>91</v>
      </c>
      <c r="B54" s="12">
        <f>L38+L39</f>
        <v>103.8</v>
      </c>
      <c r="C54" s="12">
        <f>M38+M39</f>
        <v>92.5</v>
      </c>
      <c r="D54" s="12">
        <f>L38+L39</f>
        <v>103.8</v>
      </c>
      <c r="E54" s="12">
        <f t="shared" ref="E54:H54" si="17">O38+O39</f>
        <v>617.79999999999995</v>
      </c>
      <c r="F54" s="13">
        <f t="shared" si="17"/>
        <v>214.3</v>
      </c>
      <c r="G54" s="14">
        <f t="shared" si="17"/>
        <v>242.1</v>
      </c>
      <c r="H54" s="14">
        <v>242.1</v>
      </c>
      <c r="K54" s="11" t="s">
        <v>92</v>
      </c>
      <c r="L54" s="12">
        <v>0</v>
      </c>
      <c r="M54" s="12">
        <v>0</v>
      </c>
      <c r="N54" s="12">
        <v>0</v>
      </c>
      <c r="O54" s="13">
        <v>0.8</v>
      </c>
      <c r="P54" s="13">
        <v>0</v>
      </c>
      <c r="Q54" s="14">
        <v>47</v>
      </c>
    </row>
    <row r="55" spans="1:17" ht="15" customHeight="1">
      <c r="A55" s="61" t="s">
        <v>93</v>
      </c>
      <c r="B55" s="62">
        <f t="shared" ref="B55:H55" si="18">B52+B53-B54</f>
        <v>5830.6</v>
      </c>
      <c r="C55" s="62">
        <f t="shared" si="18"/>
        <v>6134.29</v>
      </c>
      <c r="D55" s="62">
        <f t="shared" si="18"/>
        <v>5830.6</v>
      </c>
      <c r="E55" s="62">
        <f t="shared" si="18"/>
        <v>40390.21</v>
      </c>
      <c r="F55" s="63">
        <f t="shared" si="18"/>
        <v>31759.46</v>
      </c>
      <c r="G55" s="64">
        <f t="shared" si="18"/>
        <v>22964.0895882</v>
      </c>
      <c r="H55" s="64">
        <f>H52+H53-H54</f>
        <v>27935.709520000004</v>
      </c>
      <c r="K55" s="11"/>
      <c r="L55" s="12"/>
      <c r="M55" s="12"/>
      <c r="N55" s="12"/>
      <c r="O55" s="12"/>
      <c r="P55" s="12"/>
      <c r="Q55" s="23"/>
    </row>
    <row r="56" spans="1:17" ht="15" customHeight="1">
      <c r="K56" s="20" t="s">
        <v>94</v>
      </c>
      <c r="L56" s="21">
        <f t="shared" ref="L56:Q56" si="19">SUM(L49:L54)</f>
        <v>910.8</v>
      </c>
      <c r="M56" s="21">
        <f t="shared" si="19"/>
        <v>910.69</v>
      </c>
      <c r="N56" s="21">
        <f t="shared" si="19"/>
        <v>1567.8</v>
      </c>
      <c r="O56" s="21">
        <f t="shared" si="19"/>
        <v>1290.0999999999999</v>
      </c>
      <c r="P56" s="21">
        <f t="shared" si="19"/>
        <v>1322.7</v>
      </c>
      <c r="Q56" s="22">
        <f t="shared" si="19"/>
        <v>2025.4</v>
      </c>
    </row>
    <row r="57" spans="1:17" ht="15" customHeight="1">
      <c r="K57" s="11"/>
      <c r="L57" s="12"/>
      <c r="M57" s="12"/>
      <c r="N57" s="12"/>
      <c r="O57" s="12"/>
      <c r="P57" s="12"/>
      <c r="Q57" s="23"/>
    </row>
    <row r="58" spans="1:17" ht="15" customHeight="1">
      <c r="K58" s="20" t="s">
        <v>95</v>
      </c>
      <c r="L58" s="21">
        <f t="shared" ref="L58:Q58" si="20">L45-L56</f>
        <v>-328.2</v>
      </c>
      <c r="M58" s="21">
        <f t="shared" si="20"/>
        <v>-242.69</v>
      </c>
      <c r="N58" s="21">
        <f t="shared" si="20"/>
        <v>-639.91999999999996</v>
      </c>
      <c r="O58" s="21">
        <f t="shared" si="20"/>
        <v>199.6</v>
      </c>
      <c r="P58" s="21">
        <f t="shared" si="20"/>
        <v>1410</v>
      </c>
      <c r="Q58" s="22">
        <f t="shared" si="20"/>
        <v>1139.9000000000001</v>
      </c>
    </row>
    <row r="59" spans="1:17" ht="15" customHeight="1">
      <c r="K59" s="11"/>
      <c r="L59" s="12"/>
      <c r="M59" s="12"/>
      <c r="N59" s="12"/>
      <c r="O59" s="12"/>
      <c r="P59" s="12"/>
      <c r="Q59" s="23"/>
    </row>
    <row r="60" spans="1:17" ht="15" customHeight="1">
      <c r="K60" s="11" t="s">
        <v>96</v>
      </c>
      <c r="L60" s="12"/>
      <c r="M60" s="12"/>
      <c r="N60" s="12"/>
      <c r="O60" s="12"/>
      <c r="P60" s="12"/>
      <c r="Q60" s="23"/>
    </row>
    <row r="61" spans="1:17" ht="15" customHeight="1">
      <c r="K61" s="11" t="s">
        <v>82</v>
      </c>
      <c r="L61" s="12"/>
      <c r="M61" s="12"/>
      <c r="N61" s="12"/>
      <c r="O61" s="12"/>
      <c r="P61" s="12"/>
      <c r="Q61" s="23"/>
    </row>
    <row r="62" spans="1:17" ht="15.75" customHeight="1">
      <c r="K62" s="44" t="s">
        <v>97</v>
      </c>
      <c r="L62" s="12">
        <v>195.8</v>
      </c>
      <c r="M62" s="12">
        <v>263.8</v>
      </c>
      <c r="N62" s="12">
        <v>434.3</v>
      </c>
      <c r="O62" s="13">
        <v>573</v>
      </c>
      <c r="P62" s="13">
        <v>765</v>
      </c>
      <c r="Q62" s="14">
        <v>910.9</v>
      </c>
    </row>
    <row r="63" spans="1:17" ht="15" customHeight="1">
      <c r="K63" s="44" t="s">
        <v>98</v>
      </c>
      <c r="L63" s="12">
        <v>0.37</v>
      </c>
      <c r="M63" s="12">
        <v>4.6500000000000004</v>
      </c>
      <c r="N63" s="12">
        <v>4.5999999999999996</v>
      </c>
      <c r="O63" s="13">
        <v>106.3</v>
      </c>
      <c r="P63" s="13">
        <v>120.3</v>
      </c>
      <c r="Q63" s="14">
        <v>398.6</v>
      </c>
    </row>
    <row r="64" spans="1:17" ht="15" customHeight="1">
      <c r="K64" s="11" t="s">
        <v>90</v>
      </c>
      <c r="L64" s="12">
        <v>75.2</v>
      </c>
      <c r="M64" s="12">
        <v>72.5</v>
      </c>
      <c r="N64" s="12">
        <v>70.3</v>
      </c>
      <c r="O64" s="13">
        <v>75.099999999999994</v>
      </c>
      <c r="P64" s="13">
        <v>149.9</v>
      </c>
      <c r="Q64" s="14">
        <v>161.6</v>
      </c>
    </row>
    <row r="65" spans="11:18" ht="15" customHeight="1">
      <c r="K65" s="11" t="s">
        <v>99</v>
      </c>
      <c r="L65" s="12">
        <v>324.8</v>
      </c>
      <c r="M65" s="12">
        <v>190.03</v>
      </c>
      <c r="N65" s="12">
        <v>317.48</v>
      </c>
      <c r="O65" s="13">
        <v>378.1</v>
      </c>
      <c r="P65" s="13">
        <v>756.8</v>
      </c>
      <c r="Q65" s="14">
        <v>1030.5</v>
      </c>
    </row>
    <row r="66" spans="11:18" ht="15" customHeight="1">
      <c r="K66" s="11" t="s">
        <v>100</v>
      </c>
      <c r="L66" s="12">
        <v>0</v>
      </c>
      <c r="M66" s="12">
        <v>0</v>
      </c>
      <c r="N66" s="12">
        <v>0</v>
      </c>
      <c r="O66" s="13">
        <v>44.6</v>
      </c>
      <c r="P66" s="13">
        <v>28.8</v>
      </c>
      <c r="Q66" s="14">
        <v>21.4</v>
      </c>
    </row>
    <row r="67" spans="11:18" ht="15" customHeight="1">
      <c r="K67" s="11"/>
      <c r="L67" s="12"/>
      <c r="M67" s="12"/>
      <c r="N67" s="12"/>
      <c r="O67" s="13"/>
      <c r="P67" s="13"/>
      <c r="Q67" s="14"/>
    </row>
    <row r="68" spans="11:18" ht="15" customHeight="1">
      <c r="K68" s="20" t="s">
        <v>101</v>
      </c>
      <c r="L68" s="21">
        <f t="shared" ref="L68:Q68" si="21">SUM(L62:L66)</f>
        <v>596.16999999999996</v>
      </c>
      <c r="M68" s="21">
        <f t="shared" si="21"/>
        <v>530.98</v>
      </c>
      <c r="N68" s="21">
        <f t="shared" si="21"/>
        <v>826.68</v>
      </c>
      <c r="O68" s="21">
        <f t="shared" si="21"/>
        <v>1177.0999999999999</v>
      </c>
      <c r="P68" s="21">
        <f t="shared" si="21"/>
        <v>1820.8</v>
      </c>
      <c r="Q68" s="22">
        <f t="shared" si="21"/>
        <v>2523</v>
      </c>
    </row>
    <row r="69" spans="11:18" ht="15" customHeight="1">
      <c r="K69" s="11"/>
      <c r="L69" s="12"/>
      <c r="M69" s="12"/>
      <c r="N69" s="12"/>
      <c r="O69" s="12"/>
      <c r="P69" s="12"/>
      <c r="Q69" s="23"/>
    </row>
    <row r="70" spans="11:18" ht="15" customHeight="1">
      <c r="K70" s="20" t="s">
        <v>102</v>
      </c>
      <c r="L70" s="21">
        <f t="shared" ref="L70:Q70" si="22">L45+L30</f>
        <v>12803.39</v>
      </c>
      <c r="M70" s="21">
        <f t="shared" si="22"/>
        <v>12751.76</v>
      </c>
      <c r="N70" s="21">
        <f t="shared" si="22"/>
        <v>13617.9</v>
      </c>
      <c r="O70" s="21">
        <f t="shared" si="22"/>
        <v>14768</v>
      </c>
      <c r="P70" s="21">
        <f t="shared" si="22"/>
        <v>16714.400000000001</v>
      </c>
      <c r="Q70" s="22">
        <f t="shared" si="22"/>
        <v>20542.5</v>
      </c>
    </row>
    <row r="71" spans="11:18" ht="15.75" customHeight="1">
      <c r="K71" s="65" t="s">
        <v>103</v>
      </c>
      <c r="L71" s="66">
        <f t="shared" ref="L71:Q71" si="23">L68+L56+L11+L7</f>
        <v>12803.39</v>
      </c>
      <c r="M71" s="66">
        <f t="shared" si="23"/>
        <v>12751.76</v>
      </c>
      <c r="N71" s="66">
        <f t="shared" si="23"/>
        <v>13617.9</v>
      </c>
      <c r="O71" s="66">
        <f t="shared" si="23"/>
        <v>14768</v>
      </c>
      <c r="P71" s="66">
        <f t="shared" si="23"/>
        <v>16714.400000000001</v>
      </c>
      <c r="Q71" s="67">
        <f t="shared" si="23"/>
        <v>20542.5</v>
      </c>
    </row>
    <row r="72" spans="11:18" ht="15" customHeight="1">
      <c r="K72" s="68"/>
      <c r="L72" s="69"/>
      <c r="M72" s="68"/>
      <c r="N72" s="68"/>
      <c r="O72" s="68"/>
      <c r="P72" s="68"/>
      <c r="Q72" s="68"/>
    </row>
    <row r="73" spans="11:18" ht="15.75" customHeight="1">
      <c r="K73" s="70"/>
      <c r="L73" s="70"/>
      <c r="M73" s="70"/>
      <c r="N73" s="70"/>
      <c r="O73" s="70"/>
      <c r="P73" s="70"/>
      <c r="Q73" s="70"/>
    </row>
    <row r="74" spans="11:18" ht="15" customHeight="1">
      <c r="K74" s="71" t="s">
        <v>104</v>
      </c>
      <c r="L74" s="5" t="s">
        <v>4</v>
      </c>
      <c r="M74" s="5">
        <v>22</v>
      </c>
      <c r="N74" s="4" t="s">
        <v>105</v>
      </c>
      <c r="O74" s="4" t="s">
        <v>106</v>
      </c>
      <c r="P74" s="4" t="s">
        <v>5</v>
      </c>
      <c r="Q74" s="6" t="s">
        <v>6</v>
      </c>
      <c r="R74" s="6" t="s">
        <v>7</v>
      </c>
    </row>
    <row r="75" spans="11:18" ht="15" customHeight="1">
      <c r="K75" s="11" t="s">
        <v>107</v>
      </c>
      <c r="L75" s="72">
        <v>0</v>
      </c>
      <c r="M75" s="73">
        <v>0</v>
      </c>
      <c r="N75" s="73">
        <v>0</v>
      </c>
      <c r="O75" s="74">
        <v>190.65</v>
      </c>
      <c r="P75" s="75">
        <v>146.4</v>
      </c>
      <c r="Q75" s="76">
        <v>96.7</v>
      </c>
      <c r="R75" s="76">
        <v>120</v>
      </c>
    </row>
    <row r="76" spans="11:18" ht="15" customHeight="1">
      <c r="K76" s="11" t="s">
        <v>108</v>
      </c>
      <c r="L76" s="77">
        <f>B31</f>
        <v>-4.34</v>
      </c>
      <c r="M76" s="77">
        <f>C31</f>
        <v>-1.61</v>
      </c>
      <c r="N76" s="77">
        <f>F31</f>
        <v>3.92</v>
      </c>
      <c r="O76" s="77">
        <f>E31</f>
        <v>3.82</v>
      </c>
      <c r="P76" s="78">
        <f>F31</f>
        <v>3.92</v>
      </c>
      <c r="Q76" s="79">
        <f>G31</f>
        <v>3.08</v>
      </c>
      <c r="R76" s="48">
        <f>H30+G30-0.63</f>
        <v>2.99</v>
      </c>
    </row>
    <row r="77" spans="11:18" ht="15" customHeight="1">
      <c r="K77" s="11" t="s">
        <v>109</v>
      </c>
      <c r="L77" s="77">
        <f>L7/B51</f>
        <v>30.699759532806599</v>
      </c>
      <c r="M77" s="77">
        <f>M7/C51</f>
        <v>29.103973434100499</v>
      </c>
      <c r="N77" s="77">
        <f>N7/F51</f>
        <v>26.029147141518301</v>
      </c>
      <c r="O77" s="77">
        <f t="shared" ref="O77:Q77" si="24">O7/E51</f>
        <v>56.126991565135903</v>
      </c>
      <c r="P77" s="78">
        <f t="shared" si="24"/>
        <v>60.163542642924099</v>
      </c>
      <c r="Q77" s="80">
        <f t="shared" si="24"/>
        <v>62.899812191955</v>
      </c>
      <c r="R77" s="48" t="s">
        <v>13</v>
      </c>
    </row>
    <row r="78" spans="11:18" ht="15" customHeight="1">
      <c r="K78" s="11" t="s">
        <v>110</v>
      </c>
      <c r="L78" s="81" t="s">
        <v>111</v>
      </c>
      <c r="M78" s="81" t="s">
        <v>111</v>
      </c>
      <c r="N78" s="81">
        <f>N75/N76</f>
        <v>0</v>
      </c>
      <c r="O78" s="81">
        <f t="shared" ref="O78:R78" si="25">O75/O76</f>
        <v>49.908376963350797</v>
      </c>
      <c r="P78" s="82">
        <f t="shared" si="25"/>
        <v>37.346938775510203</v>
      </c>
      <c r="Q78" s="83">
        <f t="shared" si="25"/>
        <v>31.396103896103899</v>
      </c>
      <c r="R78" s="83">
        <f t="shared" si="25"/>
        <v>40.133779264214041</v>
      </c>
    </row>
    <row r="79" spans="11:18" ht="15" customHeight="1">
      <c r="K79" s="11" t="s">
        <v>112</v>
      </c>
      <c r="L79" s="81" t="s">
        <v>111</v>
      </c>
      <c r="M79" s="81" t="s">
        <v>111</v>
      </c>
      <c r="N79" s="81">
        <f>N75/N77</f>
        <v>0</v>
      </c>
      <c r="O79" s="81">
        <f t="shared" ref="O79:Q79" si="26">O75/O77</f>
        <v>3.39676142767689</v>
      </c>
      <c r="P79" s="82">
        <f t="shared" si="26"/>
        <v>2.4333673445544401</v>
      </c>
      <c r="Q79" s="83">
        <f t="shared" si="26"/>
        <v>1.53736548059786</v>
      </c>
      <c r="R79" s="48" t="s">
        <v>13</v>
      </c>
    </row>
    <row r="80" spans="11:18" ht="15" customHeight="1">
      <c r="K80" s="11" t="s">
        <v>113</v>
      </c>
      <c r="L80" s="81">
        <f>B55/B12</f>
        <v>51.639358781330202</v>
      </c>
      <c r="M80" s="81">
        <f>C55/C12</f>
        <v>13.486995141041699</v>
      </c>
      <c r="N80" s="81">
        <f>F55/F12</f>
        <v>15.238201708089401</v>
      </c>
      <c r="O80" s="81">
        <f>E55/E12</f>
        <v>20.981927272727301</v>
      </c>
      <c r="P80" s="82">
        <f>F55/F12</f>
        <v>15.238201708089401</v>
      </c>
      <c r="Q80" s="84">
        <f>G55/G12</f>
        <v>10.5330197175489</v>
      </c>
      <c r="R80" s="48" t="s">
        <v>13</v>
      </c>
    </row>
    <row r="81" spans="11:18" ht="15" customHeight="1">
      <c r="K81" s="11" t="s">
        <v>114</v>
      </c>
      <c r="L81" s="85">
        <f>B26/L7</f>
        <v>-8.5488304780660995E-2</v>
      </c>
      <c r="M81" s="85">
        <f>C26/M7</f>
        <v>-5.54797080636594E-2</v>
      </c>
      <c r="N81" s="85">
        <f>F26/N7</f>
        <v>0.15050534510011501</v>
      </c>
      <c r="O81" s="85">
        <f t="shared" ref="O81:Q81" si="27">E26/O7</f>
        <v>5.7415988311417199E-2</v>
      </c>
      <c r="P81" s="86">
        <f t="shared" si="27"/>
        <v>6.5114612622576701E-2</v>
      </c>
      <c r="Q81" s="87">
        <f t="shared" si="27"/>
        <v>4.8967305457038098E-2</v>
      </c>
      <c r="R81" s="48" t="s">
        <v>13</v>
      </c>
    </row>
    <row r="82" spans="11:18" ht="15" customHeight="1">
      <c r="K82" s="11" t="s">
        <v>115</v>
      </c>
      <c r="L82" s="85">
        <f>(B23+B19)/L12</f>
        <v>1.13566078094046E-4</v>
      </c>
      <c r="M82" s="85">
        <f>(C23+C19)/M12</f>
        <v>1.75296650690084E-2</v>
      </c>
      <c r="N82" s="85">
        <f>(F23+F19)/N12</f>
        <v>0.14796119913970901</v>
      </c>
      <c r="O82" s="85">
        <f t="shared" ref="O82:Q82" si="28">(E23+E19)/O12</f>
        <v>0.116997542068444</v>
      </c>
      <c r="P82" s="86">
        <f t="shared" si="28"/>
        <v>0.112161038096822</v>
      </c>
      <c r="Q82" s="87">
        <f t="shared" si="28"/>
        <v>8.0988855612829994E-2</v>
      </c>
      <c r="R82" s="48" t="s">
        <v>13</v>
      </c>
    </row>
    <row r="83" spans="11:18" ht="15" customHeight="1">
      <c r="K83" s="11" t="s">
        <v>116</v>
      </c>
      <c r="L83" s="81">
        <f t="shared" ref="L83:N83" si="29">L11/L7</f>
        <v>1.1067470841212801</v>
      </c>
      <c r="M83" s="81">
        <f t="shared" si="29"/>
        <v>1.2249503275431299</v>
      </c>
      <c r="N83" s="81">
        <f t="shared" si="29"/>
        <v>1.02055586160709</v>
      </c>
      <c r="O83" s="81">
        <f t="shared" ref="O83:Q83" si="30">O11/O7</f>
        <v>2.69922771863912E-2</v>
      </c>
      <c r="P83" s="82">
        <f t="shared" si="30"/>
        <v>5.701423019106E-2</v>
      </c>
      <c r="Q83" s="84">
        <f t="shared" si="30"/>
        <v>0.191704169522844</v>
      </c>
      <c r="R83" s="48" t="s">
        <v>13</v>
      </c>
    </row>
    <row r="84" spans="11:18" ht="15" customHeight="1">
      <c r="K84" s="11" t="s">
        <v>117</v>
      </c>
      <c r="L84" s="81">
        <f>(B53-B54)/L7</f>
        <v>1.08738870798692</v>
      </c>
      <c r="M84" s="81">
        <f>(C53-C54)/M7</f>
        <v>1.20675348690811</v>
      </c>
      <c r="N84" s="81">
        <f>(F53-F54)/N7</f>
        <v>9.3201695165465906E-2</v>
      </c>
      <c r="O84" s="81">
        <f t="shared" ref="O84:Q84" si="31">(E53-E54)/O7</f>
        <v>-2.4587768733041099E-2</v>
      </c>
      <c r="P84" s="82">
        <f t="shared" si="31"/>
        <v>4.0322769084578901E-2</v>
      </c>
      <c r="Q84" s="84">
        <f t="shared" si="31"/>
        <v>0.17366554406461401</v>
      </c>
      <c r="R84" s="48" t="s">
        <v>13</v>
      </c>
    </row>
    <row r="85" spans="11:18" ht="15" customHeight="1">
      <c r="K85" s="11" t="s">
        <v>118</v>
      </c>
      <c r="L85" s="77">
        <f>AVERAGE(L36)/B4*365</f>
        <v>39.882010848291699</v>
      </c>
      <c r="M85" s="77">
        <f>AVERAGE(L36:M36)/C4*365</f>
        <v>27.594698455023099</v>
      </c>
      <c r="N85" s="77">
        <f>AVERAGE(M36:N36)/F4*365</f>
        <v>13.0404624277457</v>
      </c>
      <c r="O85" s="77">
        <f t="shared" ref="O85:Q85" si="32">AVERAGE(N36:O36)/E4*365</f>
        <v>18.796267509542801</v>
      </c>
      <c r="P85" s="78">
        <f t="shared" si="32"/>
        <v>20.812138728323699</v>
      </c>
      <c r="Q85" s="80">
        <f t="shared" si="32"/>
        <v>20.6166581834634</v>
      </c>
      <c r="R85" s="48" t="s">
        <v>13</v>
      </c>
    </row>
    <row r="86" spans="11:18" ht="15" customHeight="1">
      <c r="K86" s="11" t="s">
        <v>119</v>
      </c>
      <c r="L86" s="77">
        <f>AVERAGE(L49)/B4*365</f>
        <v>102.746183526254</v>
      </c>
      <c r="M86" s="77">
        <f>AVERAGE(L49:M49)/C4*365</f>
        <v>67.805240765430199</v>
      </c>
      <c r="N86" s="77">
        <f>AVERAGE(M49:N49)/F8*365</f>
        <v>231.98747640025201</v>
      </c>
      <c r="O86" s="77">
        <f t="shared" ref="O86:Q86" si="33">AVERAGE(N49:O49)/E8*365</f>
        <v>252.45472803898301</v>
      </c>
      <c r="P86" s="77">
        <f t="shared" si="33"/>
        <v>228.60163624921299</v>
      </c>
      <c r="Q86" s="80">
        <f t="shared" si="33"/>
        <v>213.343649828672</v>
      </c>
      <c r="R86" s="48" t="s">
        <v>13</v>
      </c>
    </row>
    <row r="87" spans="11:18" ht="15" customHeight="1">
      <c r="K87" s="11" t="s">
        <v>120</v>
      </c>
      <c r="L87" s="77" t="e">
        <f>L33/SUM(B8,#REF!)*365</f>
        <v>#REF!</v>
      </c>
      <c r="M87" s="77" t="e">
        <f>AVERAGE(L33:M33)/SUM(C8,#REF!)*365</f>
        <v>#REF!</v>
      </c>
      <c r="N87" s="77">
        <f>AVERAGE(M33:N33)/SUM(F8)*365</f>
        <v>54.067778477029599</v>
      </c>
      <c r="O87" s="77">
        <f t="shared" ref="O87:Q87" si="34">AVERAGE(N33:O33)/SUM(E8)*365</f>
        <v>69.048597392334997</v>
      </c>
      <c r="P87" s="77">
        <f t="shared" si="34"/>
        <v>291.79326620516002</v>
      </c>
      <c r="Q87" s="80">
        <f t="shared" si="34"/>
        <v>455.51370620095099</v>
      </c>
      <c r="R87" s="48" t="s">
        <v>13</v>
      </c>
    </row>
    <row r="88" spans="11:18" ht="15" customHeight="1">
      <c r="K88" s="11" t="s">
        <v>121</v>
      </c>
      <c r="L88" s="77" t="e">
        <f t="shared" ref="L88:M88" si="35">L85+L87-L86</f>
        <v>#REF!</v>
      </c>
      <c r="M88" s="77" t="e">
        <f t="shared" si="35"/>
        <v>#REF!</v>
      </c>
      <c r="N88" s="77">
        <f>+N85+N87-N86</f>
        <v>-164.87923549547699</v>
      </c>
      <c r="O88" s="77">
        <f t="shared" ref="O88:Q88" si="36">+O85+O87-O86</f>
        <v>-164.60986313710501</v>
      </c>
      <c r="P88" s="77">
        <f t="shared" si="36"/>
        <v>84.003768684270895</v>
      </c>
      <c r="Q88" s="80">
        <f t="shared" si="36"/>
        <v>262.78671455574198</v>
      </c>
      <c r="R88" s="48" t="s">
        <v>13</v>
      </c>
    </row>
    <row r="89" spans="11:18" ht="15" customHeight="1">
      <c r="K89" s="11" t="s">
        <v>122</v>
      </c>
      <c r="L89" s="77">
        <f>AVERAGE(L58)/B4*365</f>
        <v>-66.987082704244301</v>
      </c>
      <c r="M89" s="77">
        <f>AVERAGE(L58:M58)/C4*365</f>
        <v>-40.854609442396701</v>
      </c>
      <c r="N89" s="77">
        <f>AVERAGE(M58:N58)/F4*365</f>
        <v>-25.508959537572299</v>
      </c>
      <c r="O89" s="77">
        <f t="shared" ref="O89:Q89" si="37">AVERAGE(N58:O58)/E4*365</f>
        <v>-13.879544708706799</v>
      </c>
      <c r="P89" s="78">
        <f t="shared" si="37"/>
        <v>46.520231213872798</v>
      </c>
      <c r="Q89" s="80">
        <f t="shared" si="37"/>
        <v>65.795264958715094</v>
      </c>
      <c r="R89" s="48" t="s">
        <v>13</v>
      </c>
    </row>
    <row r="90" spans="11:18" ht="15" customHeight="1">
      <c r="K90" s="11" t="s">
        <v>123</v>
      </c>
      <c r="L90" s="81">
        <f>B4/L16</f>
        <v>0.212252309993057</v>
      </c>
      <c r="M90" s="81">
        <f>C4/M16</f>
        <v>0.30894663516869603</v>
      </c>
      <c r="N90" s="81">
        <f>F4/N16</f>
        <v>0.77065776546471998</v>
      </c>
      <c r="O90" s="81">
        <f t="shared" ref="O90:Q90" si="38">E4/O16</f>
        <v>0.69581049899048197</v>
      </c>
      <c r="P90" s="82">
        <f t="shared" si="38"/>
        <v>0.67379102821289805</v>
      </c>
      <c r="Q90" s="84">
        <f t="shared" si="38"/>
        <v>0.57108252791706005</v>
      </c>
      <c r="R90" s="48" t="s">
        <v>13</v>
      </c>
    </row>
    <row r="91" spans="11:18" ht="15.75" customHeight="1">
      <c r="K91" s="61" t="s">
        <v>124</v>
      </c>
      <c r="L91" s="88">
        <f>(B23+B19)/B19</f>
        <v>2.12728551336153E-3</v>
      </c>
      <c r="M91" s="88">
        <f>(C23+C19)/C19</f>
        <v>0.303632727878687</v>
      </c>
      <c r="N91" s="88">
        <f>(F23+F19)/F19</f>
        <v>8.2460861056751504</v>
      </c>
      <c r="O91" s="88">
        <f>(E23+E19)/E19</f>
        <v>2.3425196850393699</v>
      </c>
      <c r="P91" s="89">
        <f>(F23+F19)/F19</f>
        <v>8.2460861056751504</v>
      </c>
      <c r="Q91" s="90">
        <f>(G23+G19)/G19</f>
        <v>4.8675142188022704</v>
      </c>
      <c r="R91" s="90">
        <f>(H23+H19)/H19</f>
        <v>2.9479267116682735</v>
      </c>
    </row>
  </sheetData>
  <mergeCells count="3">
    <mergeCell ref="A1:Q1"/>
    <mergeCell ref="A2:H2"/>
    <mergeCell ref="K2:Q2"/>
  </mergeCell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V16</dc:creator>
  <cp:lastModifiedBy>DELL</cp:lastModifiedBy>
  <cp:revision>0</cp:revision>
  <dcterms:created xsi:type="dcterms:W3CDTF">2024-11-15T11:51:00Z</dcterms:created>
  <dcterms:modified xsi:type="dcterms:W3CDTF">2026-08-20T12:25:16Z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hortcut_file_id">
    <vt:lpwstr>0fcb3b6b-571e-41df-add4-06d496e1da62</vt:lpwstr>
  </property>
  <property fmtid="{D5CDD505-2E9C-101B-9397-08002B2CF9AE}" pid="3" name="ICV">
    <vt:lpwstr>4B6EDB1EAB47429CB1537C1F87CBA3FE_13</vt:lpwstr>
  </property>
  <property fmtid="{D5CDD505-2E9C-101B-9397-08002B2CF9AE}" pid="4" name="KSOProductBuildVer">
    <vt:lpwstr>1033-12.1.0.28032</vt:lpwstr>
  </property>
  <property fmtid="{D5CDD505-2E9C-101B-9397-08002B2CF9AE}" pid="5" name="CalculationRule">
    <vt:i4>0</vt:i4>
  </property>
</Properties>
</file>