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nirlon\"/>
    </mc:Choice>
  </mc:AlternateContent>
  <xr:revisionPtr revIDLastSave="0" documentId="13_ncr:1_{3EB8C93E-E139-4011-983E-7F7B0F2F78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cials" sheetId="1" r:id="rId1"/>
    <sheet name="Sheet1" sheetId="2" r:id="rId2"/>
  </sheets>
  <definedNames>
    <definedName name="_xlnm.Print_Area" localSheetId="0">Financials!$A$1:$V$70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L48" i="1"/>
  <c r="L49" i="1"/>
  <c r="K49" i="1"/>
  <c r="K48" i="1"/>
  <c r="L47" i="1"/>
  <c r="K47" i="1"/>
  <c r="M50" i="1"/>
  <c r="AA58" i="1"/>
  <c r="AA56" i="1"/>
  <c r="J33" i="1"/>
  <c r="K33" i="1"/>
  <c r="L33" i="1"/>
  <c r="L42" i="1"/>
  <c r="L41" i="1"/>
  <c r="L40" i="1"/>
  <c r="L37" i="1"/>
  <c r="M25" i="1"/>
  <c r="M16" i="1"/>
  <c r="M9" i="1"/>
  <c r="M13" i="1" s="1"/>
  <c r="L29" i="1"/>
  <c r="L28" i="1"/>
  <c r="L22" i="1"/>
  <c r="L25" i="1" s="1"/>
  <c r="L13" i="1"/>
  <c r="L16" i="1" s="1"/>
  <c r="L9" i="1"/>
  <c r="L8" i="1"/>
  <c r="L7" i="1"/>
  <c r="L4" i="1"/>
  <c r="K41" i="1"/>
  <c r="J41" i="1"/>
  <c r="G41" i="1"/>
  <c r="F41" i="1"/>
  <c r="L50" i="1" l="1"/>
  <c r="L38" i="1"/>
  <c r="M20" i="1"/>
  <c r="M22" i="1" s="1"/>
  <c r="L14" i="1"/>
  <c r="L15" i="1"/>
  <c r="L23" i="1"/>
  <c r="L24" i="1"/>
  <c r="Z69" i="1"/>
  <c r="Z68" i="1"/>
  <c r="Z67" i="1"/>
  <c r="Z66" i="1"/>
  <c r="Z56" i="1"/>
  <c r="Z58" i="1" s="1"/>
  <c r="Z18" i="1"/>
  <c r="Z51" i="1" l="1"/>
  <c r="Y51" i="1"/>
  <c r="Z38" i="1"/>
  <c r="Z47" i="1" s="1"/>
  <c r="Z27" i="1"/>
  <c r="Z15" i="1"/>
  <c r="Z7" i="1"/>
  <c r="Y7" i="1"/>
  <c r="Z3" i="1"/>
  <c r="Z61" i="1" l="1"/>
  <c r="Z57" i="1"/>
  <c r="Z59" i="1" s="1"/>
  <c r="Z63" i="1"/>
  <c r="Z49" i="1"/>
  <c r="Z62" i="1" s="1"/>
  <c r="Z24" i="1"/>
  <c r="Z25" i="1" s="1"/>
  <c r="Z60" i="1"/>
  <c r="Z64" i="1"/>
  <c r="K37" i="1"/>
  <c r="K4" i="1"/>
  <c r="Y66" i="1" l="1"/>
  <c r="Y56" i="1"/>
  <c r="Y58" i="1" s="1"/>
  <c r="K38" i="1"/>
  <c r="K28" i="1"/>
  <c r="K29" i="1"/>
  <c r="J49" i="1"/>
  <c r="K46" i="1"/>
  <c r="J40" i="1"/>
  <c r="K40" i="1"/>
  <c r="K42" i="1" s="1"/>
  <c r="X56" i="1"/>
  <c r="W56" i="1"/>
  <c r="K9" i="1"/>
  <c r="F4" i="1"/>
  <c r="Y67" i="1"/>
  <c r="H6" i="1"/>
  <c r="K8" i="1" s="1"/>
  <c r="Y68" i="1" l="1"/>
  <c r="Y69" i="1"/>
  <c r="X58" i="1" l="1"/>
  <c r="Y38" i="1"/>
  <c r="Y27" i="1"/>
  <c r="Y15" i="1"/>
  <c r="Y24" i="1" s="1"/>
  <c r="Y3" i="1"/>
  <c r="Y64" i="1"/>
  <c r="V66" i="1"/>
  <c r="E41" i="1"/>
  <c r="H41" i="1"/>
  <c r="I41" i="1"/>
  <c r="J42" i="1"/>
  <c r="B40" i="1"/>
  <c r="B42" i="1" s="1"/>
  <c r="C40" i="1"/>
  <c r="D40" i="1"/>
  <c r="E40" i="1"/>
  <c r="F40" i="1"/>
  <c r="G40" i="1"/>
  <c r="H40" i="1"/>
  <c r="I40" i="1"/>
  <c r="X51" i="1"/>
  <c r="X66" i="1"/>
  <c r="X38" i="1"/>
  <c r="X27" i="1"/>
  <c r="X15" i="1"/>
  <c r="X7" i="1"/>
  <c r="I46" i="1"/>
  <c r="J48" i="1"/>
  <c r="J47" i="1"/>
  <c r="J46" i="1"/>
  <c r="J38" i="1"/>
  <c r="J9" i="1"/>
  <c r="Y25" i="1" l="1"/>
  <c r="Y57" i="1"/>
  <c r="Y59" i="1" s="1"/>
  <c r="Y63" i="1"/>
  <c r="K50" i="1"/>
  <c r="Y47" i="1"/>
  <c r="Y49" i="1" s="1"/>
  <c r="K13" i="1"/>
  <c r="H42" i="1"/>
  <c r="E42" i="1"/>
  <c r="F42" i="1"/>
  <c r="I42" i="1"/>
  <c r="X24" i="1"/>
  <c r="G42" i="1"/>
  <c r="X47" i="1"/>
  <c r="X49" i="1" s="1"/>
  <c r="X68" i="1"/>
  <c r="J29" i="1"/>
  <c r="I29" i="1"/>
  <c r="J28" i="1"/>
  <c r="I28" i="1"/>
  <c r="G9" i="1"/>
  <c r="I9" i="1"/>
  <c r="H9" i="1"/>
  <c r="Y60" i="1" l="1"/>
  <c r="K20" i="1"/>
  <c r="K22" i="1" s="1"/>
  <c r="Y62" i="1"/>
  <c r="K16" i="1"/>
  <c r="I49" i="1"/>
  <c r="I48" i="1"/>
  <c r="I47" i="1"/>
  <c r="I50" i="1" s="1"/>
  <c r="X3" i="1"/>
  <c r="X57" i="1" s="1"/>
  <c r="X59" i="1" s="1"/>
  <c r="J6" i="1"/>
  <c r="K7" i="1" s="1"/>
  <c r="W66" i="1"/>
  <c r="W58" i="1"/>
  <c r="W3" i="1"/>
  <c r="W57" i="1" s="1"/>
  <c r="W59" i="1" s="1"/>
  <c r="I6" i="1"/>
  <c r="K25" i="1" l="1"/>
  <c r="Y61" i="1"/>
  <c r="I13" i="1"/>
  <c r="W69" i="1"/>
  <c r="X25" i="1"/>
  <c r="X63" i="1"/>
  <c r="J50" i="1"/>
  <c r="X64" i="1"/>
  <c r="X69" i="1"/>
  <c r="X67" i="1"/>
  <c r="J13" i="1"/>
  <c r="J7" i="1"/>
  <c r="I7" i="1"/>
  <c r="W67" i="1"/>
  <c r="X62" i="1" l="1"/>
  <c r="K14" i="1"/>
  <c r="W60" i="1"/>
  <c r="J20" i="1"/>
  <c r="J22" i="1" s="1"/>
  <c r="K23" i="1" s="1"/>
  <c r="X60" i="1"/>
  <c r="J16" i="1"/>
  <c r="J14" i="1"/>
  <c r="I16" i="1"/>
  <c r="I37" i="1"/>
  <c r="I38" i="1" s="1"/>
  <c r="X61" i="1" l="1"/>
  <c r="J25" i="1"/>
  <c r="W64" i="1"/>
  <c r="W68" i="1"/>
  <c r="W63" i="1"/>
  <c r="W38" i="1"/>
  <c r="W27" i="1"/>
  <c r="W7" i="1"/>
  <c r="W47" i="1" l="1"/>
  <c r="I20" i="1" l="1"/>
  <c r="H37" i="1"/>
  <c r="H38" i="1" s="1"/>
  <c r="I22" i="1" l="1"/>
  <c r="V38" i="1"/>
  <c r="V27" i="1"/>
  <c r="V15" i="1"/>
  <c r="V7" i="1"/>
  <c r="V3" i="1"/>
  <c r="H28" i="1"/>
  <c r="H29" i="1"/>
  <c r="W61" i="1" l="1"/>
  <c r="V47" i="1"/>
  <c r="I25" i="1"/>
  <c r="J23" i="1"/>
  <c r="H13" i="1"/>
  <c r="V24" i="1"/>
  <c r="V25" i="1" s="1"/>
  <c r="I14" i="1" l="1"/>
  <c r="K15" i="1"/>
  <c r="H20" i="1"/>
  <c r="H22" i="1" s="1"/>
  <c r="H16" i="1"/>
  <c r="U66" i="1"/>
  <c r="H49" i="1"/>
  <c r="H48" i="1"/>
  <c r="H47" i="1"/>
  <c r="H46" i="1"/>
  <c r="V56" i="1"/>
  <c r="V58" i="1" s="1"/>
  <c r="V51" i="1"/>
  <c r="I23" i="1" l="1"/>
  <c r="K24" i="1"/>
  <c r="V68" i="1"/>
  <c r="V64" i="1"/>
  <c r="V63" i="1"/>
  <c r="H25" i="1"/>
  <c r="H50" i="1"/>
  <c r="V57" i="1"/>
  <c r="V59" i="1" s="1"/>
  <c r="V49" i="1"/>
  <c r="V62" i="1" s="1"/>
  <c r="V67" i="1" l="1"/>
  <c r="V69" i="1"/>
  <c r="P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R68" i="1" s="1"/>
  <c r="E47" i="1"/>
  <c r="S68" i="1" s="1"/>
  <c r="F47" i="1"/>
  <c r="T68" i="1" s="1"/>
  <c r="G47" i="1"/>
  <c r="Q66" i="1"/>
  <c r="R66" i="1"/>
  <c r="S66" i="1"/>
  <c r="T66" i="1"/>
  <c r="U56" i="1"/>
  <c r="U58" i="1" s="1"/>
  <c r="T56" i="1"/>
  <c r="T58" i="1" s="1"/>
  <c r="S56" i="1"/>
  <c r="S58" i="1" s="1"/>
  <c r="R56" i="1"/>
  <c r="R58" i="1" s="1"/>
  <c r="Q56" i="1"/>
  <c r="Q58" i="1" s="1"/>
  <c r="P56" i="1"/>
  <c r="P58" i="1" s="1"/>
  <c r="B46" i="1"/>
  <c r="C46" i="1"/>
  <c r="D46" i="1"/>
  <c r="E46" i="1"/>
  <c r="F46" i="1"/>
  <c r="G46" i="1"/>
  <c r="F50" i="1" l="1"/>
  <c r="B50" i="1"/>
  <c r="D50" i="1"/>
  <c r="U68" i="1"/>
  <c r="V60" i="1"/>
  <c r="V61" i="1"/>
  <c r="G50" i="1"/>
  <c r="C50" i="1"/>
  <c r="E50" i="1"/>
  <c r="P68" i="1"/>
  <c r="Q68" i="1"/>
  <c r="C37" i="1" l="1"/>
  <c r="U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U67" i="1"/>
  <c r="U69" i="1"/>
  <c r="G13" i="1"/>
  <c r="B21" i="1"/>
  <c r="H14" i="1" l="1"/>
  <c r="J15" i="1"/>
  <c r="G16" i="1"/>
  <c r="U60" i="1"/>
  <c r="G20" i="1"/>
  <c r="G22" i="1" s="1"/>
  <c r="Q50" i="1"/>
  <c r="P50" i="1"/>
  <c r="T51" i="1"/>
  <c r="S51" i="1"/>
  <c r="R51" i="1"/>
  <c r="Q51" i="1"/>
  <c r="P51" i="1"/>
  <c r="U51" i="1"/>
  <c r="U38" i="1"/>
  <c r="U27" i="1"/>
  <c r="U15" i="1"/>
  <c r="U7" i="1"/>
  <c r="U3" i="1"/>
  <c r="P38" i="1"/>
  <c r="P28" i="1"/>
  <c r="J24" i="1" l="1"/>
  <c r="U61" i="1"/>
  <c r="H23" i="1"/>
  <c r="U63" i="1"/>
  <c r="U64" i="1"/>
  <c r="G25" i="1"/>
  <c r="U57" i="1"/>
  <c r="U59" i="1" s="1"/>
  <c r="U47" i="1"/>
  <c r="U49" i="1" s="1"/>
  <c r="U62" i="1" s="1"/>
  <c r="U24" i="1"/>
  <c r="U25" i="1" s="1"/>
  <c r="Q38" i="1"/>
  <c r="Q28" i="1"/>
  <c r="P27" i="1"/>
  <c r="P47" i="1" s="1"/>
  <c r="P15" i="1"/>
  <c r="Q15" i="1"/>
  <c r="P3" i="1"/>
  <c r="P7" i="1"/>
  <c r="Q7" i="1"/>
  <c r="Q3" i="1"/>
  <c r="R38" i="1"/>
  <c r="R27" i="1"/>
  <c r="R15" i="1"/>
  <c r="R7" i="1"/>
  <c r="R3" i="1"/>
  <c r="S38" i="1"/>
  <c r="S27" i="1"/>
  <c r="S18" i="1"/>
  <c r="S15" i="1" s="1"/>
  <c r="S7" i="1"/>
  <c r="S3" i="1"/>
  <c r="S57" i="1" s="1"/>
  <c r="T38" i="1"/>
  <c r="T27" i="1"/>
  <c r="T18" i="1"/>
  <c r="T15" i="1" s="1"/>
  <c r="T7" i="1"/>
  <c r="T3" i="1"/>
  <c r="C41" i="1" l="1"/>
  <c r="C42" i="1" s="1"/>
  <c r="D41" i="1"/>
  <c r="D42" i="1" s="1"/>
  <c r="R64" i="1"/>
  <c r="R63" i="1"/>
  <c r="P57" i="1"/>
  <c r="P59" i="1" s="1"/>
  <c r="P63" i="1"/>
  <c r="P64" i="1"/>
  <c r="Q64" i="1"/>
  <c r="Q63" i="1"/>
  <c r="T63" i="1"/>
  <c r="T64" i="1"/>
  <c r="S63" i="1"/>
  <c r="S64" i="1"/>
  <c r="S59" i="1"/>
  <c r="P49" i="1"/>
  <c r="Q57" i="1"/>
  <c r="Q59" i="1" s="1"/>
  <c r="T57" i="1"/>
  <c r="T59" i="1" s="1"/>
  <c r="R57" i="1"/>
  <c r="R59" i="1" s="1"/>
  <c r="Q27" i="1"/>
  <c r="Q47" i="1" s="1"/>
  <c r="Q49" i="1" s="1"/>
  <c r="T24" i="1"/>
  <c r="T25" i="1" s="1"/>
  <c r="S47" i="1"/>
  <c r="S49" i="1" s="1"/>
  <c r="T47" i="1"/>
  <c r="T49" i="1" s="1"/>
  <c r="S24" i="1"/>
  <c r="S25" i="1" s="1"/>
  <c r="R24" i="1"/>
  <c r="R25" i="1" s="1"/>
  <c r="P24" i="1"/>
  <c r="P25" i="1" s="1"/>
  <c r="Q24" i="1"/>
  <c r="Q25" i="1" s="1"/>
  <c r="R47" i="1"/>
  <c r="R49" i="1" s="1"/>
  <c r="B4" i="1" l="1"/>
  <c r="B6" i="1" s="1"/>
  <c r="C4" i="1"/>
  <c r="C6" i="1" s="1"/>
  <c r="Q67" i="1" s="1"/>
  <c r="D4" i="1"/>
  <c r="D6" i="1" s="1"/>
  <c r="G8" i="1" s="1"/>
  <c r="E4" i="1"/>
  <c r="E6" i="1" s="1"/>
  <c r="H8" i="1" s="1"/>
  <c r="F6" i="1"/>
  <c r="I8" i="1" l="1"/>
  <c r="G7" i="1"/>
  <c r="Q69" i="1"/>
  <c r="S69" i="1"/>
  <c r="S67" i="1"/>
  <c r="R69" i="1"/>
  <c r="R67" i="1"/>
  <c r="T67" i="1"/>
  <c r="T69" i="1"/>
  <c r="B13" i="1"/>
  <c r="P69" i="1"/>
  <c r="P67" i="1"/>
  <c r="D13" i="1"/>
  <c r="R62" i="1" s="1"/>
  <c r="D7" i="1"/>
  <c r="C7" i="1"/>
  <c r="C13" i="1"/>
  <c r="E7" i="1"/>
  <c r="E13" i="1"/>
  <c r="S62" i="1" s="1"/>
  <c r="E8" i="1"/>
  <c r="F8" i="1"/>
  <c r="F7" i="1"/>
  <c r="F13" i="1"/>
  <c r="B20" i="1"/>
  <c r="B16" i="1" l="1"/>
  <c r="P62" i="1"/>
  <c r="Q60" i="1"/>
  <c r="Q62" i="1"/>
  <c r="I15" i="1"/>
  <c r="T62" i="1"/>
  <c r="S60" i="1"/>
  <c r="H15" i="1"/>
  <c r="R60" i="1"/>
  <c r="G15" i="1"/>
  <c r="T60" i="1"/>
  <c r="G14" i="1"/>
  <c r="P60" i="1"/>
  <c r="E14" i="1"/>
  <c r="E20" i="1"/>
  <c r="E16" i="1"/>
  <c r="E15" i="1"/>
  <c r="B22" i="1"/>
  <c r="P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R61" i="1"/>
  <c r="D25" i="1"/>
  <c r="D23" i="1"/>
  <c r="S61" i="1"/>
  <c r="E25" i="1"/>
  <c r="E23" i="1"/>
  <c r="Q61" i="1"/>
  <c r="C25" i="1"/>
  <c r="C23" i="1"/>
  <c r="T61" i="1"/>
  <c r="F25" i="1"/>
  <c r="F23" i="1"/>
  <c r="G23" i="1"/>
  <c r="W51" i="1"/>
  <c r="W15" i="1"/>
  <c r="W49" i="1" s="1"/>
  <c r="W62" i="1" s="1"/>
  <c r="W24" i="1" l="1"/>
  <c r="W25" i="1" s="1"/>
</calcChain>
</file>

<file path=xl/sharedStrings.xml><?xml version="1.0" encoding="utf-8"?>
<sst xmlns="http://schemas.openxmlformats.org/spreadsheetml/2006/main" count="169" uniqueCount="109">
  <si>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</si>
  <si>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</si>
  <si>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</si>
  <si>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</si>
  <si>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</si>
  <si>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</si>
  <si>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</si>
  <si>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</si>
  <si>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</si>
  <si>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</si>
  <si>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</si>
  <si>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</si>
  <si>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</si>
  <si>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</si>
  <si>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</si>
  <si>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</si>
  <si>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</si>
  <si>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</si>
  <si>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</si>
  <si>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</si>
  <si>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</si>
  <si>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</si>
  <si>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</si>
  <si>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</si>
  <si>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</si>
  <si>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</si>
  <si>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</si>
  <si>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</si>
  <si>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</si>
  <si>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</si>
  <si>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</si>
  <si>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</si>
  <si>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</si>
  <si>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</si>
  <si>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</si>
  <si>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</si>
  <si>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</si>
  <si>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</si>
  <si>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</si>
  <si>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</si>
  <si>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</si>
  <si>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</si>
  <si>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</si>
  <si>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</si>
  <si>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</si>
  <si>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</si>
  <si>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</si>
  <si>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</si>
  <si>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</si>
  <si>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</si>
  <si>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</si>
  <si>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</si>
  <si>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</si>
  <si>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</si>
  <si>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</si>
  <si>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</si>
  <si>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</si>
  <si>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</si>
  <si>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</si>
  <si>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</si>
  <si>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</si>
  <si>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</si>
  <si>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</si>
  <si>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</si>
  <si>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</si>
  <si>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</si>
  <si>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</si>
  <si>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</si>
  <si>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</si>
  <si>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</si>
  <si>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</si>
  <si>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</si>
  <si>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</si>
  <si>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</si>
  <si>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</si>
  <si>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</si>
  <si>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</si>
  <si>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</si>
  <si>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</si>
  <si>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</si>
  <si>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</si>
  <si>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</si>
  <si>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</si>
  <si>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</si>
  <si>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</si>
  <si>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</si>
  <si>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</si>
  <si>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</si>
  <si>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</si>
  <si>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</si>
  <si>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</si>
  <si>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</si>
  <si>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</si>
  <si>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</si>
  <si>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</si>
  <si>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</si>
  <si>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</si>
  <si>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</si>
  <si>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</si>
  <si>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</si>
  <si>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</si>
  <si>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</si>
  <si>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</si>
  <si>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FY24</t>
  </si>
  <si>
    <t>FY25</t>
  </si>
  <si>
    <t>FY26</t>
  </si>
  <si>
    <t>Q1-FY27</t>
  </si>
  <si>
    <t>NA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</si>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</sst>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(* #,##0.00_);_(* \(#,##0.00\);_(* &quot;-&quot;??_);_(@_)"/>
    <numFmt numFmtId="168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</cellStyleXfs>
  <cellXfs count="130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5" fillId="0" borderId="6" xfId="0" applyNumberFormat="1" applyFont="1" applyBorder="1"/>
    <xf numFmtId="0" fontId="4" fillId="0" borderId="0" xfId="0" applyFont="1" applyAlignment="1">
      <alignment horizontal="center"/>
    </xf>
    <xf numFmtId="164" fontId="5" fillId="0" borderId="7" xfId="0" applyNumberFormat="1" applyFont="1" applyBorder="1"/>
    <xf numFmtId="166" fontId="0" fillId="0" borderId="6" xfId="2" applyNumberFormat="1" applyFont="1" applyBorder="1"/>
    <xf numFmtId="166" fontId="0" fillId="0" borderId="6" xfId="0" applyNumberFormat="1" applyBorder="1"/>
    <xf numFmtId="2" fontId="5" fillId="0" borderId="1" xfId="0" applyNumberFormat="1" applyFont="1" applyBorder="1" applyAlignment="1">
      <alignment horizontal="right"/>
    </xf>
    <xf numFmtId="166" fontId="5" fillId="0" borderId="6" xfId="2" applyNumberFormat="1" applyFont="1" applyFill="1" applyBorder="1"/>
    <xf numFmtId="165" fontId="4" fillId="2" borderId="7" xfId="2" applyNumberFormat="1" applyFont="1" applyFill="1" applyBorder="1"/>
    <xf numFmtId="10" fontId="9" fillId="2" borderId="6" xfId="1" applyNumberFormat="1" applyFont="1" applyFill="1" applyBorder="1"/>
    <xf numFmtId="10" fontId="9" fillId="2" borderId="3" xfId="1" applyNumberFormat="1" applyFont="1" applyFill="1" applyBorder="1"/>
    <xf numFmtId="10" fontId="4" fillId="2" borderId="6" xfId="1" applyNumberFormat="1" applyFont="1" applyFill="1" applyBorder="1"/>
    <xf numFmtId="165" fontId="4" fillId="0" borderId="6" xfId="2" applyNumberFormat="1" applyFont="1" applyFill="1" applyBorder="1"/>
    <xf numFmtId="10" fontId="9" fillId="2" borderId="8" xfId="1" applyNumberFormat="1" applyFont="1" applyFill="1" applyBorder="1"/>
    <xf numFmtId="10" fontId="4" fillId="2" borderId="3" xfId="1" applyNumberFormat="1" applyFont="1" applyFill="1" applyBorder="1"/>
    <xf numFmtId="10" fontId="5" fillId="0" borderId="6" xfId="1" applyNumberFormat="1" applyFont="1" applyFill="1" applyBorder="1"/>
    <xf numFmtId="164" fontId="4" fillId="2" borderId="6" xfId="0" applyNumberFormat="1" applyFont="1" applyFill="1" applyBorder="1"/>
    <xf numFmtId="10" fontId="9" fillId="2" borderId="7" xfId="1" applyNumberFormat="1" applyFont="1" applyFill="1" applyBorder="1"/>
    <xf numFmtId="10" fontId="5" fillId="0" borderId="0" xfId="1" applyNumberFormat="1" applyFont="1" applyFill="1" applyBorder="1"/>
    <xf numFmtId="164" fontId="4" fillId="2" borderId="5" xfId="0" applyNumberFormat="1" applyFont="1" applyFill="1" applyBorder="1"/>
    <xf numFmtId="164" fontId="5" fillId="0" borderId="0" xfId="0" applyNumberFormat="1" applyFont="1"/>
    <xf numFmtId="43" fontId="5" fillId="0" borderId="0" xfId="0" applyNumberFormat="1" applyFont="1"/>
    <xf numFmtId="3" fontId="5" fillId="0" borderId="1" xfId="0" applyNumberFormat="1" applyFont="1" applyBorder="1"/>
    <xf numFmtId="165" fontId="5" fillId="0" borderId="1" xfId="2" applyNumberFormat="1" applyFont="1" applyBorder="1"/>
    <xf numFmtId="164" fontId="5" fillId="0" borderId="1" xfId="0" applyNumberFormat="1" applyFont="1" applyBorder="1"/>
    <xf numFmtId="165" fontId="4" fillId="0" borderId="0" xfId="0" applyNumberFormat="1" applyFont="1"/>
    <xf numFmtId="0" fontId="5" fillId="0" borderId="8" xfId="0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0" fontId="9" fillId="2" borderId="6" xfId="1" applyNumberFormat="1" applyFont="1" applyFill="1" applyBorder="1" applyAlignment="1">
      <alignment horizontal="right"/>
    </xf>
    <xf numFmtId="168" fontId="5" fillId="0" borderId="6" xfId="0" applyNumberFormat="1" applyFont="1" applyBorder="1"/>
    <xf numFmtId="10" fontId="9" fillId="2" borderId="7" xfId="1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5" fillId="0" borderId="6" xfId="0" applyFont="1" applyFill="1" applyBorder="1"/>
    <xf numFmtId="166" fontId="5" fillId="0" borderId="1" xfId="2" applyNumberFormat="1" applyFont="1" applyFill="1" applyBorder="1"/>
    <xf numFmtId="166" fontId="5" fillId="0" borderId="1" xfId="2" applyNumberFormat="1" applyFont="1" applyBorder="1"/>
    <xf numFmtId="166" fontId="5" fillId="0" borderId="1" xfId="0" applyNumberFormat="1" applyFont="1" applyBorder="1"/>
    <xf numFmtId="166" fontId="4" fillId="2" borderId="1" xfId="2" applyNumberFormat="1" applyFont="1" applyFill="1" applyBorder="1"/>
  </cellXfs>
  <cellStyles count="5">
    <cellStyle name="Comma" xfId="2" builtinId="3"/>
    <cellStyle name="Comma 10 11" xfId="4" xr:uid="{00000000-0005-0000-0000-000001000000}"/>
    <cellStyle name="Normal" xfId="0" builtinId="0"/>
    <cellStyle name="Normal 12" xfId="3" xr:uid="{00000000-0005-0000-0000-00000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7"/>
  <sheetViews>
    <sheetView tabSelected="1" topLeftCell="A33" zoomScale="85" zoomScaleNormal="85" workbookViewId="0">
      <selection activeCell="M47" sqref="M47"/>
    </sheetView>
  </sheetViews>
  <sheetFormatPr defaultRowHeight="14.4" x14ac:dyDescent="0.3"/>
  <cols>
    <col min="1" max="1" width="41" customWidth="1"/>
    <col min="2" max="2" width="12.44140625" hidden="1" customWidth="1"/>
    <col min="3" max="5" width="12" hidden="1" customWidth="1"/>
    <col min="6" max="9" width="12" customWidth="1"/>
    <col min="10" max="10" width="12.44140625" bestFit="1" customWidth="1"/>
    <col min="11" max="13" width="13.88671875" style="68" customWidth="1"/>
    <col min="14" max="14" width="5.33203125" customWidth="1"/>
    <col min="15" max="15" width="33.5546875" customWidth="1"/>
    <col min="16" max="19" width="10.6640625" hidden="1" customWidth="1"/>
    <col min="20" max="21" width="10.6640625" customWidth="1"/>
    <col min="25" max="26" width="10.109375" style="68" customWidth="1"/>
    <col min="27" max="27" width="14.88671875" customWidth="1"/>
  </cols>
  <sheetData>
    <row r="1" spans="1:27" x14ac:dyDescent="0.3">
      <c r="A1" s="116" t="s">
        <v>65</v>
      </c>
      <c r="B1" s="116"/>
      <c r="C1" s="116"/>
      <c r="D1" s="116"/>
      <c r="E1" s="116"/>
      <c r="F1" s="116"/>
      <c r="G1" s="116"/>
      <c r="H1" s="116"/>
      <c r="I1" s="47"/>
      <c r="J1" s="47"/>
      <c r="K1" s="88"/>
      <c r="L1" s="88"/>
      <c r="M1" s="88"/>
      <c r="O1" s="117" t="s">
        <v>66</v>
      </c>
      <c r="P1" s="117"/>
      <c r="Q1" s="117"/>
      <c r="R1" s="117"/>
      <c r="S1" s="117"/>
      <c r="T1" s="117"/>
      <c r="U1" s="117"/>
      <c r="V1" s="117"/>
    </row>
    <row r="2" spans="1:27" x14ac:dyDescent="0.3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103</v>
      </c>
      <c r="K2" s="32" t="s">
        <v>104</v>
      </c>
      <c r="L2" s="32" t="s">
        <v>105</v>
      </c>
      <c r="M2" s="32" t="s">
        <v>106</v>
      </c>
      <c r="O2" s="48" t="s">
        <v>24</v>
      </c>
      <c r="P2" s="32" t="s">
        <v>18</v>
      </c>
      <c r="Q2" s="32" t="s">
        <v>19</v>
      </c>
      <c r="R2" s="32" t="s">
        <v>20</v>
      </c>
      <c r="S2" s="32" t="s">
        <v>21</v>
      </c>
      <c r="T2" s="32" t="s">
        <v>22</v>
      </c>
      <c r="U2" s="49" t="s">
        <v>23</v>
      </c>
      <c r="V2" s="32" t="s">
        <v>75</v>
      </c>
      <c r="W2" s="4" t="s">
        <v>102</v>
      </c>
      <c r="X2" s="4" t="s">
        <v>103</v>
      </c>
      <c r="Y2" s="32" t="s">
        <v>104</v>
      </c>
      <c r="Z2" s="32" t="s">
        <v>105</v>
      </c>
    </row>
    <row r="3" spans="1:27" x14ac:dyDescent="0.3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90">
        <v>2664.7089999999998</v>
      </c>
      <c r="G3" s="90">
        <v>2753</v>
      </c>
      <c r="H3" s="90">
        <v>3415.5610000000001</v>
      </c>
      <c r="I3" s="90">
        <v>5151.2179999999998</v>
      </c>
      <c r="J3" s="90">
        <v>5348</v>
      </c>
      <c r="K3" s="93">
        <v>5678</v>
      </c>
      <c r="L3" s="93">
        <v>5901</v>
      </c>
      <c r="M3" s="93">
        <v>1490</v>
      </c>
      <c r="O3" s="35" t="s">
        <v>26</v>
      </c>
      <c r="P3" s="50">
        <f t="shared" ref="P3:Y3" si="0">P4+P5</f>
        <v>14555.928</v>
      </c>
      <c r="Q3" s="50">
        <f t="shared" si="0"/>
        <v>15048.655000000001</v>
      </c>
      <c r="R3" s="50">
        <f t="shared" si="0"/>
        <v>4204.1189999999997</v>
      </c>
      <c r="S3" s="50">
        <f t="shared" si="0"/>
        <v>3524.6189999999997</v>
      </c>
      <c r="T3" s="50">
        <f t="shared" si="0"/>
        <v>4537.9110000000001</v>
      </c>
      <c r="U3" s="50">
        <f t="shared" si="0"/>
        <v>5744.34</v>
      </c>
      <c r="V3" s="50">
        <f t="shared" si="0"/>
        <v>4779.7520000000004</v>
      </c>
      <c r="W3" s="50">
        <f t="shared" si="0"/>
        <v>4017.98</v>
      </c>
      <c r="X3" s="50">
        <f t="shared" si="0"/>
        <v>3730.5039999999999</v>
      </c>
      <c r="Y3" s="50">
        <f t="shared" si="0"/>
        <v>3569.2719999999999</v>
      </c>
      <c r="Z3" s="50">
        <f>Z4+Z5</f>
        <v>4686.0389999999998</v>
      </c>
    </row>
    <row r="4" spans="1:27" x14ac:dyDescent="0.3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91">
        <f>37.555+355.552+42.19</f>
        <v>435.29700000000003</v>
      </c>
      <c r="G4" s="91">
        <v>416</v>
      </c>
      <c r="H4" s="91">
        <v>423.88799999999998</v>
      </c>
      <c r="I4" s="91">
        <v>575.26199999999994</v>
      </c>
      <c r="J4" s="91">
        <v>684</v>
      </c>
      <c r="K4" s="59">
        <f>K6-K3-K5</f>
        <v>682.74799999999993</v>
      </c>
      <c r="L4" s="59">
        <f>L6-L3-L5</f>
        <v>790.71199999999988</v>
      </c>
      <c r="M4" s="59">
        <v>193</v>
      </c>
      <c r="O4" s="51" t="s">
        <v>27</v>
      </c>
      <c r="P4" s="52">
        <v>900.803</v>
      </c>
      <c r="Q4" s="52">
        <v>901.18</v>
      </c>
      <c r="R4" s="52">
        <v>901.18</v>
      </c>
      <c r="S4" s="52">
        <v>901.18</v>
      </c>
      <c r="T4" s="52">
        <v>901.18</v>
      </c>
      <c r="U4" s="53">
        <v>901.18</v>
      </c>
      <c r="V4" s="5">
        <v>901.18</v>
      </c>
      <c r="W4" s="5">
        <v>901.18</v>
      </c>
      <c r="X4" s="5">
        <v>901.18</v>
      </c>
      <c r="Y4" s="52">
        <v>901.18</v>
      </c>
      <c r="Z4" s="52">
        <v>901.18</v>
      </c>
    </row>
    <row r="5" spans="1:27" x14ac:dyDescent="0.3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89">
        <v>88.938999999999993</v>
      </c>
      <c r="L5" s="89">
        <v>141.51499999999999</v>
      </c>
      <c r="M5" s="89">
        <v>44</v>
      </c>
      <c r="O5" s="51" t="s">
        <v>28</v>
      </c>
      <c r="P5" s="52">
        <v>13655.125</v>
      </c>
      <c r="Q5" s="52">
        <v>14147.475</v>
      </c>
      <c r="R5" s="52">
        <v>3302.9389999999999</v>
      </c>
      <c r="S5" s="52">
        <v>2623.4389999999999</v>
      </c>
      <c r="T5" s="52">
        <v>3636.7310000000002</v>
      </c>
      <c r="U5" s="53">
        <v>4843.16</v>
      </c>
      <c r="V5" s="5">
        <v>3878.5720000000001</v>
      </c>
      <c r="W5" s="52">
        <v>3116.8</v>
      </c>
      <c r="X5" s="52">
        <v>2829.3240000000001</v>
      </c>
      <c r="Y5" s="52">
        <v>2668.0920000000001</v>
      </c>
      <c r="Z5" s="52">
        <v>3784.8589999999999</v>
      </c>
    </row>
    <row r="6" spans="1:27" x14ac:dyDescent="0.3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" si="2">SUM(J3:J5)</f>
        <v>6074</v>
      </c>
      <c r="K6" s="94">
        <v>6449.6869999999999</v>
      </c>
      <c r="L6" s="94">
        <v>6833.2269999999999</v>
      </c>
      <c r="M6" s="94">
        <v>1726.63</v>
      </c>
      <c r="O6" s="51"/>
      <c r="P6" s="52"/>
      <c r="Q6" s="52"/>
      <c r="R6" s="52"/>
      <c r="S6" s="52"/>
      <c r="T6" s="52"/>
      <c r="U6" s="53"/>
      <c r="V6" s="6"/>
      <c r="W6" s="3"/>
      <c r="X6" s="3"/>
      <c r="Y6" s="51"/>
      <c r="Z6" s="51"/>
    </row>
    <row r="7" spans="1:27" x14ac:dyDescent="0.3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 t="shared" ref="G7:K7" si="4">G6/F6-1</f>
        <v>2.6912833058246877E-2</v>
      </c>
      <c r="H7" s="11">
        <f t="shared" si="4"/>
        <v>0.21091856090850958</v>
      </c>
      <c r="I7" s="11">
        <f t="shared" si="4"/>
        <v>0.48843006386239618</v>
      </c>
      <c r="J7" s="11">
        <f t="shared" si="4"/>
        <v>5.5230566315177976E-2</v>
      </c>
      <c r="K7" s="95">
        <f t="shared" si="4"/>
        <v>6.1851662825156417E-2</v>
      </c>
      <c r="L7" s="95">
        <f>L6/J6-1</f>
        <v>0.12499621336845568</v>
      </c>
      <c r="M7" s="95" t="s">
        <v>107</v>
      </c>
      <c r="O7" s="35" t="s">
        <v>42</v>
      </c>
      <c r="P7" s="50">
        <f t="shared" ref="P7:W7" si="5">SUM(P9:P13)</f>
        <v>6625.5730000000003</v>
      </c>
      <c r="Q7" s="50">
        <f t="shared" si="5"/>
        <v>5777.3290000000006</v>
      </c>
      <c r="R7" s="50">
        <f t="shared" si="5"/>
        <v>7494.9310000000005</v>
      </c>
      <c r="S7" s="50">
        <f t="shared" si="5"/>
        <v>10109.013000000001</v>
      </c>
      <c r="T7" s="50">
        <f t="shared" si="5"/>
        <v>12209.429999999998</v>
      </c>
      <c r="U7" s="50">
        <f t="shared" si="5"/>
        <v>12018.575000000001</v>
      </c>
      <c r="V7" s="50">
        <f t="shared" si="5"/>
        <v>14230.949000000001</v>
      </c>
      <c r="W7" s="50">
        <f t="shared" si="5"/>
        <v>14974.5</v>
      </c>
      <c r="X7" s="50">
        <f>SUM(X9:X13)</f>
        <v>15585.771000000001</v>
      </c>
      <c r="Y7" s="50">
        <f>SUM(Y9:Y13)</f>
        <v>16309.0013</v>
      </c>
      <c r="Z7" s="50">
        <f>SUM(Z9:Z13)</f>
        <v>15904.402999999998</v>
      </c>
    </row>
    <row r="8" spans="1:27" x14ac:dyDescent="0.3">
      <c r="A8" s="10" t="s">
        <v>4</v>
      </c>
      <c r="B8" s="19"/>
      <c r="C8" s="20"/>
      <c r="D8" s="20"/>
      <c r="E8" s="11">
        <f t="shared" ref="E8:F8" si="6">(E6/B6)^(1/3)-1</f>
        <v>1.1499515190489085E-2</v>
      </c>
      <c r="F8" s="11">
        <f t="shared" si="6"/>
        <v>2.0575238544740193E-2</v>
      </c>
      <c r="G8" s="11">
        <f t="shared" ref="G8:K8" si="7">(G6/D6)^(1/3)-1</f>
        <v>2.8471645357106556E-2</v>
      </c>
      <c r="H8" s="11">
        <f t="shared" si="7"/>
        <v>8.8363125822298549E-2</v>
      </c>
      <c r="I8" s="11">
        <f t="shared" si="7"/>
        <v>0.2277944057142014</v>
      </c>
      <c r="J8" s="11">
        <f t="shared" si="7"/>
        <v>0.23897795024932411</v>
      </c>
      <c r="K8" s="95">
        <f t="shared" si="7"/>
        <v>0.18589584986908281</v>
      </c>
      <c r="L8" s="95">
        <f>(L6/H6)^(1/3)-1</f>
        <v>0.20895170554285203</v>
      </c>
      <c r="M8" s="121" t="s">
        <v>108</v>
      </c>
      <c r="O8" s="51" t="s">
        <v>29</v>
      </c>
      <c r="P8" s="52"/>
      <c r="Q8" s="52"/>
      <c r="R8" s="52"/>
      <c r="S8" s="52"/>
      <c r="T8" s="52"/>
      <c r="U8" s="53"/>
      <c r="V8" s="3"/>
      <c r="W8" s="3"/>
      <c r="X8" s="3"/>
      <c r="Y8" s="51"/>
      <c r="Z8" s="51"/>
    </row>
    <row r="9" spans="1:27" x14ac:dyDescent="0.3">
      <c r="A9" s="3" t="s">
        <v>5</v>
      </c>
      <c r="B9" s="21">
        <f>SUM(B10:B12)</f>
        <v>654.57100000000003</v>
      </c>
      <c r="C9" s="21">
        <f t="shared" ref="C9:F9" si="8">SUM(C10:C12)</f>
        <v>658.93499999999995</v>
      </c>
      <c r="D9" s="21">
        <f t="shared" si="8"/>
        <v>705.34899999999993</v>
      </c>
      <c r="E9" s="5">
        <f t="shared" si="8"/>
        <v>725.71399999999994</v>
      </c>
      <c r="F9" s="21">
        <f t="shared" si="8"/>
        <v>791.25</v>
      </c>
      <c r="G9" s="21">
        <f t="shared" ref="G9:K9" si="9">SUM(G10:G12)</f>
        <v>797.20899999999995</v>
      </c>
      <c r="H9" s="21">
        <f t="shared" si="9"/>
        <v>865.83400000000006</v>
      </c>
      <c r="I9" s="21">
        <f t="shared" si="9"/>
        <v>1146.152</v>
      </c>
      <c r="J9" s="21">
        <f t="shared" si="9"/>
        <v>1259.5999999999999</v>
      </c>
      <c r="K9" s="53">
        <f t="shared" si="9"/>
        <v>1332.0160000000001</v>
      </c>
      <c r="L9" s="53">
        <f>SUM(L10:L12)</f>
        <v>1479.5259999999998</v>
      </c>
      <c r="M9" s="53">
        <f>SUM(M10:M12)</f>
        <v>391.21699999999998</v>
      </c>
      <c r="O9" s="51" t="s">
        <v>30</v>
      </c>
      <c r="P9" s="52">
        <v>5805.68</v>
      </c>
      <c r="Q9" s="52">
        <v>5140.009</v>
      </c>
      <c r="R9" s="52">
        <v>6108.6570000000002</v>
      </c>
      <c r="S9" s="52">
        <v>8533.9069999999992</v>
      </c>
      <c r="T9" s="52">
        <v>9633.9069999999992</v>
      </c>
      <c r="U9" s="53">
        <v>9783.9069999999992</v>
      </c>
      <c r="V9" s="5">
        <v>10938.828</v>
      </c>
      <c r="W9" s="52">
        <v>11450.2</v>
      </c>
      <c r="X9" s="52">
        <v>11455.775</v>
      </c>
      <c r="Y9" s="52">
        <v>11461.1813</v>
      </c>
      <c r="Z9" s="52">
        <v>11466.63</v>
      </c>
    </row>
    <row r="10" spans="1:27" x14ac:dyDescent="0.3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52">
        <v>60.073</v>
      </c>
      <c r="L10" s="52">
        <v>62.612000000000002</v>
      </c>
      <c r="M10" s="52">
        <v>16.071000000000002</v>
      </c>
      <c r="O10" s="51" t="s">
        <v>31</v>
      </c>
      <c r="P10" s="54">
        <v>0</v>
      </c>
      <c r="Q10" s="54">
        <v>0</v>
      </c>
      <c r="R10" s="52">
        <v>798.16499999999996</v>
      </c>
      <c r="S10" s="52">
        <v>895.1</v>
      </c>
      <c r="T10" s="52">
        <v>1462.6420000000001</v>
      </c>
      <c r="U10" s="53">
        <v>1003.865</v>
      </c>
      <c r="V10" s="5">
        <v>1450.3240000000001</v>
      </c>
      <c r="W10" s="52">
        <v>1469.8</v>
      </c>
      <c r="X10" s="52">
        <v>1689.5530000000001</v>
      </c>
      <c r="Y10" s="52">
        <v>1948.271</v>
      </c>
      <c r="Z10" s="52">
        <v>2206.1</v>
      </c>
    </row>
    <row r="11" spans="1:27" x14ac:dyDescent="0.3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52">
        <v>586.34699999999998</v>
      </c>
      <c r="L11" s="52">
        <v>614.30399999999997</v>
      </c>
      <c r="M11" s="52">
        <v>149.62700000000001</v>
      </c>
      <c r="O11" s="51" t="s">
        <v>32</v>
      </c>
      <c r="P11" s="52">
        <v>14.217000000000001</v>
      </c>
      <c r="Q11" s="52">
        <v>2.2829999999999999</v>
      </c>
      <c r="R11" s="52">
        <v>3.036</v>
      </c>
      <c r="S11" s="52">
        <v>4.04</v>
      </c>
      <c r="T11" s="52">
        <v>4.45</v>
      </c>
      <c r="U11" s="53">
        <v>4.7350000000000003</v>
      </c>
      <c r="V11" s="5">
        <v>4.8250000000000002</v>
      </c>
      <c r="W11" s="52">
        <v>2.7</v>
      </c>
      <c r="X11" s="52">
        <v>3.0840000000000001</v>
      </c>
      <c r="Y11" s="52">
        <v>2.6789999999999998</v>
      </c>
      <c r="Z11" s="52">
        <v>14.407999999999999</v>
      </c>
    </row>
    <row r="12" spans="1:27" x14ac:dyDescent="0.3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89">
        <v>685.596</v>
      </c>
      <c r="L12" s="89">
        <v>802.61</v>
      </c>
      <c r="M12" s="89">
        <v>225.51900000000001</v>
      </c>
      <c r="O12" s="51" t="s">
        <v>33</v>
      </c>
      <c r="P12" s="52">
        <v>348.30099999999999</v>
      </c>
      <c r="Q12" s="52">
        <v>435.06200000000001</v>
      </c>
      <c r="R12" s="52">
        <v>381.68799999999999</v>
      </c>
      <c r="S12" s="52">
        <v>493.23500000000001</v>
      </c>
      <c r="T12" s="52">
        <v>586.702</v>
      </c>
      <c r="U12" s="53">
        <v>751.41200000000003</v>
      </c>
      <c r="V12" s="5">
        <v>1188.934</v>
      </c>
      <c r="W12" s="52">
        <v>1530.3</v>
      </c>
      <c r="X12" s="52">
        <v>1963.1990000000001</v>
      </c>
      <c r="Y12" s="52">
        <v>2484.9699999999998</v>
      </c>
      <c r="Z12" s="52">
        <v>1944.2819999999999</v>
      </c>
      <c r="AA12" s="22"/>
    </row>
    <row r="13" spans="1:27" x14ac:dyDescent="0.3">
      <c r="A13" s="8" t="s">
        <v>11</v>
      </c>
      <c r="B13" s="80">
        <f>B6-B9</f>
        <v>2243.9770000000003</v>
      </c>
      <c r="C13" s="80">
        <f t="shared" ref="C13:H13" si="10">C6-C9</f>
        <v>2266.6680000000001</v>
      </c>
      <c r="D13" s="80">
        <f t="shared" si="10"/>
        <v>2230.3199999999997</v>
      </c>
      <c r="E13" s="80">
        <f t="shared" si="10"/>
        <v>2273.9839999999999</v>
      </c>
      <c r="F13" s="80">
        <f t="shared" si="10"/>
        <v>2318.6789999999996</v>
      </c>
      <c r="G13" s="80">
        <f t="shared" si="10"/>
        <v>2396.4170000000004</v>
      </c>
      <c r="H13" s="80">
        <f t="shared" si="10"/>
        <v>3001.3869999999997</v>
      </c>
      <c r="I13" s="80">
        <f>I6-I9</f>
        <v>4609.9359999999997</v>
      </c>
      <c r="J13" s="80">
        <f>J6-J9</f>
        <v>4814.3999999999996</v>
      </c>
      <c r="K13" s="94">
        <f>K6-K9</f>
        <v>5117.6710000000003</v>
      </c>
      <c r="L13" s="94">
        <f>L6-L9</f>
        <v>5353.701</v>
      </c>
      <c r="M13" s="94">
        <f>M6-M9</f>
        <v>1335.413</v>
      </c>
      <c r="O13" s="51" t="s">
        <v>34</v>
      </c>
      <c r="P13" s="52">
        <v>457.375</v>
      </c>
      <c r="Q13" s="52">
        <v>199.97499999999999</v>
      </c>
      <c r="R13" s="52">
        <v>203.38499999999999</v>
      </c>
      <c r="S13" s="52">
        <v>182.73099999999999</v>
      </c>
      <c r="T13" s="52">
        <v>521.72900000000004</v>
      </c>
      <c r="U13" s="53">
        <v>474.65600000000001</v>
      </c>
      <c r="V13" s="5">
        <v>648.03800000000001</v>
      </c>
      <c r="W13" s="52">
        <v>521.5</v>
      </c>
      <c r="X13" s="52">
        <v>474.16</v>
      </c>
      <c r="Y13" s="52">
        <v>411.9</v>
      </c>
      <c r="Z13" s="52">
        <v>272.983</v>
      </c>
    </row>
    <row r="14" spans="1:27" x14ac:dyDescent="0.3">
      <c r="A14" s="26" t="s">
        <v>3</v>
      </c>
      <c r="B14" s="29"/>
      <c r="C14" s="12">
        <f t="shared" ref="C14:H14" si="11">C13/B13-1</f>
        <v>1.0111957475499977E-2</v>
      </c>
      <c r="D14" s="12">
        <f t="shared" si="11"/>
        <v>-1.6035872920074912E-2</v>
      </c>
      <c r="E14" s="11">
        <f t="shared" si="11"/>
        <v>1.9577459736719538E-2</v>
      </c>
      <c r="F14" s="12">
        <f t="shared" si="11"/>
        <v>1.9654931609017323E-2</v>
      </c>
      <c r="G14" s="12">
        <f t="shared" si="11"/>
        <v>3.3526848692725819E-2</v>
      </c>
      <c r="H14" s="12">
        <f t="shared" si="11"/>
        <v>0.25244771673711175</v>
      </c>
      <c r="I14" s="12">
        <f>I13/H13-1</f>
        <v>0.53593521928361798</v>
      </c>
      <c r="J14" s="12">
        <f>J13/I13-1</f>
        <v>4.4352893402424654E-2</v>
      </c>
      <c r="K14" s="96">
        <f>K13/J13-1</f>
        <v>6.2992480890661451E-2</v>
      </c>
      <c r="L14" s="96">
        <f>L13/J13-1</f>
        <v>0.11201832003988055</v>
      </c>
      <c r="M14" s="95" t="s">
        <v>107</v>
      </c>
      <c r="O14" s="51"/>
      <c r="P14" s="52"/>
      <c r="Q14" s="52"/>
      <c r="R14" s="52"/>
      <c r="S14" s="52"/>
      <c r="T14" s="52"/>
      <c r="U14" s="53"/>
      <c r="V14" s="6"/>
      <c r="W14" s="3"/>
      <c r="X14" s="3"/>
      <c r="Y14" s="51"/>
      <c r="Z14" s="51"/>
    </row>
    <row r="15" spans="1:27" x14ac:dyDescent="0.3">
      <c r="A15" s="10" t="s">
        <v>4</v>
      </c>
      <c r="B15" s="10"/>
      <c r="C15" s="11"/>
      <c r="D15" s="11"/>
      <c r="E15" s="11">
        <f t="shared" ref="E15:J15" si="12">(E13/B13)^(1/3)-1</f>
        <v>4.4376912478556463E-3</v>
      </c>
      <c r="F15" s="11">
        <f t="shared" si="12"/>
        <v>7.5909043420427924E-3</v>
      </c>
      <c r="G15" s="11">
        <f t="shared" si="12"/>
        <v>2.4232150860502344E-2</v>
      </c>
      <c r="H15" s="11">
        <f t="shared" si="12"/>
        <v>9.6928189818025867E-2</v>
      </c>
      <c r="I15" s="11">
        <f t="shared" si="12"/>
        <v>0.2574327163765775</v>
      </c>
      <c r="J15" s="11">
        <f t="shared" si="12"/>
        <v>0.26180795056508788</v>
      </c>
      <c r="K15" s="95">
        <f>(K13/H13)^(1/3)-1</f>
        <v>0.19467595255059877</v>
      </c>
      <c r="L15" s="95">
        <f>(L13/H13)^(1/3)-1</f>
        <v>0.21276700200683862</v>
      </c>
      <c r="M15" s="121" t="s">
        <v>108</v>
      </c>
      <c r="O15" s="35" t="s">
        <v>43</v>
      </c>
      <c r="P15" s="50">
        <f t="shared" ref="P15:V15" si="13">SUM(P17:P22)</f>
        <v>2529.3829999999998</v>
      </c>
      <c r="Q15" s="50">
        <f t="shared" si="13"/>
        <v>3013.7330000000002</v>
      </c>
      <c r="R15" s="50">
        <f t="shared" si="13"/>
        <v>732.11599999999999</v>
      </c>
      <c r="S15" s="50">
        <f t="shared" si="13"/>
        <v>938.79</v>
      </c>
      <c r="T15" s="50">
        <f t="shared" si="13"/>
        <v>1132.201</v>
      </c>
      <c r="U15" s="50">
        <f t="shared" si="13"/>
        <v>1298.5129999999999</v>
      </c>
      <c r="V15" s="50">
        <f t="shared" si="13"/>
        <v>2976.0639999999999</v>
      </c>
      <c r="W15" s="50">
        <f>SUM(W17:W22)</f>
        <v>2019.6999999999998</v>
      </c>
      <c r="X15" s="50">
        <f>SUM(X17:X22)</f>
        <v>1945.912</v>
      </c>
      <c r="Y15" s="50">
        <f>SUM(Y17:Y22)</f>
        <v>2551.4359999999997</v>
      </c>
      <c r="Z15" s="50">
        <f>SUM(Z17:Z22)</f>
        <v>1906.4349999999997</v>
      </c>
    </row>
    <row r="16" spans="1:27" x14ac:dyDescent="0.3">
      <c r="A16" s="13" t="s">
        <v>12</v>
      </c>
      <c r="B16" s="15">
        <f t="shared" ref="B16:I16" si="14">B13/B6</f>
        <v>0.77417279272242523</v>
      </c>
      <c r="C16" s="15">
        <f t="shared" si="14"/>
        <v>0.77476950905505637</v>
      </c>
      <c r="D16" s="15">
        <f t="shared" si="14"/>
        <v>0.75973142748722688</v>
      </c>
      <c r="E16" s="15">
        <f t="shared" si="14"/>
        <v>0.75807097914523391</v>
      </c>
      <c r="F16" s="15">
        <f t="shared" si="14"/>
        <v>0.74557296967229791</v>
      </c>
      <c r="G16" s="15">
        <f t="shared" si="14"/>
        <v>0.75037496563467365</v>
      </c>
      <c r="H16" s="15">
        <f t="shared" si="14"/>
        <v>0.77610951119679994</v>
      </c>
      <c r="I16" s="15">
        <f t="shared" si="14"/>
        <v>0.80088004213973096</v>
      </c>
      <c r="J16" s="15">
        <f>J13/J6</f>
        <v>0.79262430029634501</v>
      </c>
      <c r="K16" s="97">
        <f>K13/K6</f>
        <v>0.7934758694491687</v>
      </c>
      <c r="L16" s="97">
        <f>L13/L6</f>
        <v>0.78348063074737606</v>
      </c>
      <c r="M16" s="97">
        <f>M13/M6</f>
        <v>0.7734216363667954</v>
      </c>
      <c r="O16" s="51" t="s">
        <v>29</v>
      </c>
      <c r="P16" s="52"/>
      <c r="Q16" s="52"/>
      <c r="R16" s="52"/>
      <c r="S16" s="52"/>
      <c r="T16" s="52"/>
      <c r="U16" s="53"/>
      <c r="V16" s="3"/>
      <c r="W16" s="3"/>
      <c r="X16" s="3"/>
      <c r="Y16" s="51"/>
      <c r="Z16" s="51"/>
    </row>
    <row r="17" spans="1:26" x14ac:dyDescent="0.3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52">
        <v>563.31600000000003</v>
      </c>
      <c r="L17" s="52">
        <v>555.76099999999997</v>
      </c>
      <c r="M17" s="52">
        <v>139.547</v>
      </c>
      <c r="O17" s="51" t="s">
        <v>30</v>
      </c>
      <c r="P17" s="52">
        <v>152.191</v>
      </c>
      <c r="Q17" s="55">
        <v>148.77000000000001</v>
      </c>
      <c r="R17" s="54">
        <v>0</v>
      </c>
      <c r="S17" s="54">
        <v>0</v>
      </c>
      <c r="T17" s="52">
        <v>255.977</v>
      </c>
      <c r="U17" s="56">
        <v>0</v>
      </c>
      <c r="V17" s="5">
        <v>845.07799999999997</v>
      </c>
      <c r="W17" s="3">
        <v>0</v>
      </c>
      <c r="X17" s="3">
        <v>0</v>
      </c>
      <c r="Y17" s="51">
        <v>2.6309999999999998</v>
      </c>
      <c r="Z17" s="51">
        <v>2.3130000000000002</v>
      </c>
    </row>
    <row r="18" spans="1:26" x14ac:dyDescent="0.3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52">
        <v>1170.2550000000001</v>
      </c>
      <c r="L18" s="52">
        <v>1078.5060000000001</v>
      </c>
      <c r="M18" s="52">
        <v>262.83300000000003</v>
      </c>
      <c r="O18" s="51" t="s">
        <v>35</v>
      </c>
      <c r="P18" s="52">
        <v>93.659000000000006</v>
      </c>
      <c r="Q18" s="52">
        <v>67.265000000000001</v>
      </c>
      <c r="R18" s="52">
        <v>65.757000000000005</v>
      </c>
      <c r="S18" s="52">
        <f>0.245+77.034</f>
        <v>77.279000000000011</v>
      </c>
      <c r="T18" s="52">
        <f>3.858+82.587</f>
        <v>86.445000000000007</v>
      </c>
      <c r="U18" s="53">
        <f>6.432+63.916</f>
        <v>70.347999999999999</v>
      </c>
      <c r="V18" s="5">
        <v>255.68899999999999</v>
      </c>
      <c r="W18" s="3">
        <v>166.6</v>
      </c>
      <c r="X18" s="3">
        <v>133.446</v>
      </c>
      <c r="Y18" s="52">
        <v>212.959</v>
      </c>
      <c r="Z18" s="52">
        <f>159.98+4.978</f>
        <v>164.958</v>
      </c>
    </row>
    <row r="19" spans="1:26" x14ac:dyDescent="0.3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52"/>
      <c r="L19" s="52"/>
      <c r="M19" s="122"/>
      <c r="O19" s="51" t="s">
        <v>36</v>
      </c>
      <c r="P19" s="55">
        <v>0</v>
      </c>
      <c r="Q19" s="55">
        <v>0</v>
      </c>
      <c r="R19" s="52">
        <v>520.88599999999997</v>
      </c>
      <c r="S19" s="52">
        <v>707.42</v>
      </c>
      <c r="T19" s="52">
        <v>613.59900000000005</v>
      </c>
      <c r="U19" s="53">
        <v>1081.4780000000001</v>
      </c>
      <c r="V19" s="5">
        <v>1583.4690000000001</v>
      </c>
      <c r="W19" s="52">
        <v>1603.6</v>
      </c>
      <c r="X19" s="52">
        <v>1378.364</v>
      </c>
      <c r="Y19" s="52">
        <v>1372.4749999999999</v>
      </c>
      <c r="Z19" s="52">
        <v>1415.0129999999999</v>
      </c>
    </row>
    <row r="20" spans="1:26" x14ac:dyDescent="0.3">
      <c r="A20" s="73" t="s">
        <v>13</v>
      </c>
      <c r="B20" s="81">
        <f t="shared" ref="B20:I20" si="15">B13-B17-B18-B19</f>
        <v>690.76700000000028</v>
      </c>
      <c r="C20" s="81">
        <f t="shared" si="15"/>
        <v>780.53100000000029</v>
      </c>
      <c r="D20" s="81">
        <f t="shared" si="15"/>
        <v>852.61599999999964</v>
      </c>
      <c r="E20" s="81">
        <f t="shared" si="15"/>
        <v>987.97699999999998</v>
      </c>
      <c r="F20" s="81">
        <f t="shared" si="15"/>
        <v>1464.9079999999997</v>
      </c>
      <c r="G20" s="81">
        <f t="shared" si="15"/>
        <v>1769.0480000000005</v>
      </c>
      <c r="H20" s="81">
        <f t="shared" si="15"/>
        <v>1900.5939999999998</v>
      </c>
      <c r="I20" s="81">
        <f t="shared" si="15"/>
        <v>2325.3679999999999</v>
      </c>
      <c r="J20" s="81">
        <f>J13-J17-J18-J19</f>
        <v>3015.3869999999993</v>
      </c>
      <c r="K20" s="98">
        <f>K13-K17-K18-K19</f>
        <v>3384.1000000000004</v>
      </c>
      <c r="L20" s="98">
        <v>3719.4340000000002</v>
      </c>
      <c r="M20" s="98">
        <f>M13-M17-M18</f>
        <v>933.0329999999999</v>
      </c>
      <c r="O20" s="51" t="s">
        <v>37</v>
      </c>
      <c r="P20" s="52">
        <v>1880.134</v>
      </c>
      <c r="Q20" s="52">
        <v>2292.2710000000002</v>
      </c>
      <c r="R20" s="52">
        <v>142.37299999999999</v>
      </c>
      <c r="S20" s="52">
        <v>151.67699999999999</v>
      </c>
      <c r="T20" s="52">
        <v>173.947</v>
      </c>
      <c r="U20" s="53">
        <v>145.22399999999999</v>
      </c>
      <c r="V20" s="5">
        <v>236.62</v>
      </c>
      <c r="W20" s="52">
        <v>246.2</v>
      </c>
      <c r="X20" s="52">
        <v>299.06299999999999</v>
      </c>
      <c r="Y20" s="52">
        <v>272.09100000000001</v>
      </c>
      <c r="Z20" s="52">
        <v>289.13900000000001</v>
      </c>
    </row>
    <row r="21" spans="1:26" x14ac:dyDescent="0.3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89">
        <v>1202.2149999999999</v>
      </c>
      <c r="L21" s="89">
        <v>259.61700000000002</v>
      </c>
      <c r="M21" s="89">
        <v>239.274</v>
      </c>
      <c r="O21" s="51" t="s">
        <v>38</v>
      </c>
      <c r="P21" s="52">
        <v>403.399</v>
      </c>
      <c r="Q21" s="55">
        <v>505.42700000000002</v>
      </c>
      <c r="R21" s="52">
        <v>1.641</v>
      </c>
      <c r="S21" s="52">
        <v>0.95499999999999996</v>
      </c>
      <c r="T21" s="52">
        <v>1.454</v>
      </c>
      <c r="U21" s="53">
        <v>1.4630000000000001</v>
      </c>
      <c r="V21" s="5">
        <v>1.498</v>
      </c>
      <c r="W21" s="52">
        <v>1.2</v>
      </c>
      <c r="X21" s="52">
        <v>1.4810000000000001</v>
      </c>
      <c r="Y21" s="52">
        <v>10.81</v>
      </c>
      <c r="Z21" s="52">
        <v>8.9510000000000005</v>
      </c>
    </row>
    <row r="22" spans="1:26" x14ac:dyDescent="0.3">
      <c r="A22" s="8" t="s">
        <v>15</v>
      </c>
      <c r="B22" s="80">
        <f t="shared" ref="B22:H22" si="16">B20-B21</f>
        <v>435.66400000000027</v>
      </c>
      <c r="C22" s="80">
        <f t="shared" si="16"/>
        <v>510.80400000000031</v>
      </c>
      <c r="D22" s="80">
        <f t="shared" si="16"/>
        <v>556.90199999999959</v>
      </c>
      <c r="E22" s="80">
        <f t="shared" si="16"/>
        <v>636.779</v>
      </c>
      <c r="F22" s="80">
        <f t="shared" si="16"/>
        <v>1094.7569999999996</v>
      </c>
      <c r="G22" s="80">
        <f t="shared" si="16"/>
        <v>1273.9010000000005</v>
      </c>
      <c r="H22" s="80">
        <f t="shared" si="16"/>
        <v>1108.08</v>
      </c>
      <c r="I22" s="80">
        <f>I20-I21</f>
        <v>1579.1679999999999</v>
      </c>
      <c r="J22" s="80">
        <f>J20-J21</f>
        <v>2056.3869999999993</v>
      </c>
      <c r="K22" s="94">
        <f>K20-K21</f>
        <v>2181.8850000000002</v>
      </c>
      <c r="L22" s="94">
        <f>L20-L21</f>
        <v>3459.817</v>
      </c>
      <c r="M22" s="94">
        <f>M20-M21</f>
        <v>693.7589999999999</v>
      </c>
      <c r="O22" s="51" t="s">
        <v>39</v>
      </c>
      <c r="P22" s="54">
        <v>0</v>
      </c>
      <c r="Q22" s="54">
        <v>0</v>
      </c>
      <c r="R22" s="52">
        <v>1.4590000000000001</v>
      </c>
      <c r="S22" s="52">
        <v>1.4590000000000001</v>
      </c>
      <c r="T22" s="52">
        <v>0.77900000000000003</v>
      </c>
      <c r="U22" s="56">
        <v>0</v>
      </c>
      <c r="V22" s="5">
        <v>53.71</v>
      </c>
      <c r="W22" s="52">
        <v>2.1</v>
      </c>
      <c r="X22" s="52">
        <v>133.55799999999999</v>
      </c>
      <c r="Y22" s="52">
        <v>680.47</v>
      </c>
      <c r="Z22" s="52">
        <v>26.061</v>
      </c>
    </row>
    <row r="23" spans="1:26" x14ac:dyDescent="0.3">
      <c r="A23" s="72" t="s">
        <v>3</v>
      </c>
      <c r="B23" s="29"/>
      <c r="C23" s="30">
        <f t="shared" ref="C23:H23" si="17">C22/B22-1</f>
        <v>0.17247236402365118</v>
      </c>
      <c r="D23" s="30">
        <f t="shared" si="17"/>
        <v>9.0245965184296173E-2</v>
      </c>
      <c r="E23" s="30">
        <f t="shared" si="17"/>
        <v>0.1434309806752363</v>
      </c>
      <c r="F23" s="30">
        <f t="shared" si="17"/>
        <v>0.71921027546448557</v>
      </c>
      <c r="G23" s="30">
        <f t="shared" si="17"/>
        <v>0.16363814070154481</v>
      </c>
      <c r="H23" s="30">
        <f t="shared" si="17"/>
        <v>-0.13016788588752226</v>
      </c>
      <c r="I23" s="30">
        <f>I22/H22-1</f>
        <v>0.42513897913508059</v>
      </c>
      <c r="J23" s="30">
        <f>J22/I22-1</f>
        <v>0.3021964730794946</v>
      </c>
      <c r="K23" s="99">
        <f>K22/J22-1</f>
        <v>6.1028395919640044E-2</v>
      </c>
      <c r="L23" s="99">
        <f>L22/J22-1</f>
        <v>0.68247367834945516</v>
      </c>
      <c r="M23" s="99"/>
      <c r="O23" s="51"/>
      <c r="P23" s="52"/>
      <c r="Q23" s="52"/>
      <c r="R23" s="52"/>
      <c r="S23" s="52"/>
      <c r="T23" s="52"/>
      <c r="U23" s="53"/>
      <c r="V23" s="6"/>
      <c r="W23" s="3"/>
      <c r="X23" s="3"/>
      <c r="Y23" s="51"/>
      <c r="Z23" s="51"/>
    </row>
    <row r="24" spans="1:26" x14ac:dyDescent="0.3">
      <c r="A24" s="10" t="s">
        <v>4</v>
      </c>
      <c r="B24" s="20"/>
      <c r="C24" s="11"/>
      <c r="D24" s="11"/>
      <c r="E24" s="11">
        <f t="shared" ref="E24:K24" si="18">(E22/B22)^(1/3)-1</f>
        <v>0.13486887714658446</v>
      </c>
      <c r="F24" s="11">
        <f t="shared" si="18"/>
        <v>0.28930147776630721</v>
      </c>
      <c r="G24" s="11">
        <f t="shared" si="18"/>
        <v>0.31760621186809224</v>
      </c>
      <c r="H24" s="11">
        <f t="shared" si="18"/>
        <v>0.20280196211747681</v>
      </c>
      <c r="I24" s="11">
        <f t="shared" si="18"/>
        <v>0.12989182917095876</v>
      </c>
      <c r="J24" s="11">
        <f t="shared" si="18"/>
        <v>0.17306764663714724</v>
      </c>
      <c r="K24" s="95">
        <f t="shared" si="18"/>
        <v>0.25339198569018673</v>
      </c>
      <c r="L24" s="95">
        <f>(L22/H22)^(1/3)-1</f>
        <v>0.46159597152794474</v>
      </c>
      <c r="M24" s="95"/>
      <c r="O24" s="35" t="s">
        <v>40</v>
      </c>
      <c r="P24" s="50">
        <f t="shared" ref="P24:U24" si="19">P7+P15</f>
        <v>9154.9560000000001</v>
      </c>
      <c r="Q24" s="50">
        <f t="shared" si="19"/>
        <v>8791.0620000000017</v>
      </c>
      <c r="R24" s="50">
        <f t="shared" si="19"/>
        <v>8227.0470000000005</v>
      </c>
      <c r="S24" s="50">
        <f t="shared" si="19"/>
        <v>11047.803</v>
      </c>
      <c r="T24" s="50">
        <f t="shared" si="19"/>
        <v>13341.630999999998</v>
      </c>
      <c r="U24" s="50">
        <f t="shared" si="19"/>
        <v>13317.088</v>
      </c>
      <c r="V24" s="50">
        <f>V7+V15</f>
        <v>17207.012999999999</v>
      </c>
      <c r="W24" s="50">
        <f>W7+W15</f>
        <v>16994.2</v>
      </c>
      <c r="X24" s="50">
        <f>X7+X15</f>
        <v>17531.683000000001</v>
      </c>
      <c r="Y24" s="50">
        <f>Y7+Y15</f>
        <v>18860.437299999998</v>
      </c>
      <c r="Z24" s="50">
        <f>Z7+Z15</f>
        <v>17810.838</v>
      </c>
    </row>
    <row r="25" spans="1:26" x14ac:dyDescent="0.3">
      <c r="A25" s="13" t="s">
        <v>16</v>
      </c>
      <c r="B25" s="16">
        <f t="shared" ref="B25:I25" si="20">B22/B6</f>
        <v>0.1503042212859681</v>
      </c>
      <c r="C25" s="16">
        <f t="shared" si="20"/>
        <v>0.1745978521350984</v>
      </c>
      <c r="D25" s="16">
        <f t="shared" si="20"/>
        <v>0.18970190440407267</v>
      </c>
      <c r="E25" s="15">
        <f t="shared" si="20"/>
        <v>0.21228103629098663</v>
      </c>
      <c r="F25" s="16">
        <f t="shared" si="20"/>
        <v>0.35201993357404615</v>
      </c>
      <c r="G25" s="16">
        <f t="shared" si="20"/>
        <v>0.39888859872759064</v>
      </c>
      <c r="H25" s="16">
        <f t="shared" si="20"/>
        <v>0.28653133606794129</v>
      </c>
      <c r="I25" s="16">
        <f t="shared" si="20"/>
        <v>0.27434743874659318</v>
      </c>
      <c r="J25" s="16">
        <f>J22/J6</f>
        <v>0.3385556470200855</v>
      </c>
      <c r="K25" s="100">
        <f>K22/K6</f>
        <v>0.33829316058283143</v>
      </c>
      <c r="L25" s="100">
        <f>L22/L6</f>
        <v>0.50632256179986412</v>
      </c>
      <c r="M25" s="100">
        <f>M22/M6</f>
        <v>0.40179945906187187</v>
      </c>
      <c r="O25" s="57" t="s">
        <v>41</v>
      </c>
      <c r="P25" s="58">
        <f t="shared" ref="P25:U25" si="21">P3+P24</f>
        <v>23710.883999999998</v>
      </c>
      <c r="Q25" s="58">
        <f t="shared" si="21"/>
        <v>23839.717000000004</v>
      </c>
      <c r="R25" s="58">
        <f t="shared" si="21"/>
        <v>12431.166000000001</v>
      </c>
      <c r="S25" s="58">
        <f t="shared" si="21"/>
        <v>14572.421999999999</v>
      </c>
      <c r="T25" s="58">
        <f t="shared" si="21"/>
        <v>17879.541999999998</v>
      </c>
      <c r="U25" s="58">
        <f t="shared" si="21"/>
        <v>19061.428</v>
      </c>
      <c r="V25" s="58">
        <f>V3+V24</f>
        <v>21986.764999999999</v>
      </c>
      <c r="W25" s="58">
        <f>W3+W24</f>
        <v>21012.18</v>
      </c>
      <c r="X25" s="58">
        <f>X3+X24</f>
        <v>21262.187000000002</v>
      </c>
      <c r="Y25" s="58">
        <f>Y3+Y24</f>
        <v>22429.709299999999</v>
      </c>
      <c r="Z25" s="58">
        <f>Z3+Z24</f>
        <v>22496.877</v>
      </c>
    </row>
    <row r="26" spans="1:26" x14ac:dyDescent="0.3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101"/>
      <c r="L26" s="101"/>
      <c r="M26" s="101"/>
      <c r="O26" s="51"/>
      <c r="P26" s="52"/>
      <c r="Q26" s="52"/>
      <c r="R26" s="52"/>
      <c r="S26" s="52"/>
      <c r="T26" s="52"/>
      <c r="U26" s="53"/>
      <c r="V26" s="6"/>
      <c r="W26" s="3"/>
      <c r="X26" s="3"/>
      <c r="Y26" s="51"/>
      <c r="Z26" s="51"/>
    </row>
    <row r="27" spans="1:26" x14ac:dyDescent="0.3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4">
        <v>12.15</v>
      </c>
      <c r="G27" s="14">
        <v>14.14</v>
      </c>
      <c r="H27" s="14">
        <v>12.3</v>
      </c>
      <c r="I27" s="14">
        <v>17.52</v>
      </c>
      <c r="J27" s="14">
        <v>22.81</v>
      </c>
      <c r="K27" s="102">
        <v>24.21</v>
      </c>
      <c r="L27" s="102">
        <v>38.39</v>
      </c>
      <c r="M27" s="102">
        <v>7.7</v>
      </c>
      <c r="O27" s="35" t="s">
        <v>44</v>
      </c>
      <c r="P27" s="50">
        <f t="shared" ref="P27:W27" si="22">SUM(P28:P36)</f>
        <v>23208.706999999999</v>
      </c>
      <c r="Q27" s="50">
        <f t="shared" si="22"/>
        <v>23079.375000000004</v>
      </c>
      <c r="R27" s="50">
        <f t="shared" si="22"/>
        <v>11859.2</v>
      </c>
      <c r="S27" s="50">
        <f t="shared" si="22"/>
        <v>14342.021000000001</v>
      </c>
      <c r="T27" s="50">
        <f t="shared" si="22"/>
        <v>17533.618000000002</v>
      </c>
      <c r="U27" s="50">
        <f t="shared" si="22"/>
        <v>18844.903000000006</v>
      </c>
      <c r="V27" s="50">
        <f t="shared" si="22"/>
        <v>20831.326000000001</v>
      </c>
      <c r="W27" s="50">
        <f t="shared" si="22"/>
        <v>20614.498000000003</v>
      </c>
      <c r="X27" s="50">
        <f>SUM(X28:X36)</f>
        <v>20479.761999999999</v>
      </c>
      <c r="Y27" s="50">
        <f>SUM(Y28:Y36)</f>
        <v>20339.392000000003</v>
      </c>
      <c r="Z27" s="50">
        <f>SUM(Z28:Z36)</f>
        <v>19117.596000000001</v>
      </c>
    </row>
    <row r="28" spans="1:26" x14ac:dyDescent="0.3">
      <c r="A28" s="10" t="s">
        <v>3</v>
      </c>
      <c r="B28" s="20"/>
      <c r="C28" s="11">
        <f t="shared" ref="C28:H28" si="23">C27/B27-1</f>
        <v>0.17391304347826075</v>
      </c>
      <c r="D28" s="11">
        <f t="shared" si="23"/>
        <v>8.9947089947089998E-2</v>
      </c>
      <c r="E28" s="11">
        <f t="shared" si="23"/>
        <v>0.14401294498381878</v>
      </c>
      <c r="F28" s="11">
        <f t="shared" si="23"/>
        <v>0.71852899575671847</v>
      </c>
      <c r="G28" s="11">
        <f t="shared" si="23"/>
        <v>0.16378600823045275</v>
      </c>
      <c r="H28" s="11">
        <f t="shared" si="23"/>
        <v>-0.13012729844413007</v>
      </c>
      <c r="I28" s="11">
        <f>I27/H27-1</f>
        <v>0.42439024390243896</v>
      </c>
      <c r="J28" s="11">
        <f>J27/I27-1</f>
        <v>0.3019406392694064</v>
      </c>
      <c r="K28" s="95">
        <f>K27/J27-1</f>
        <v>6.1376589215256461E-2</v>
      </c>
      <c r="L28" s="95">
        <f>L27/J27-1</f>
        <v>0.68303375712406855</v>
      </c>
      <c r="M28" s="95" t="s">
        <v>107</v>
      </c>
      <c r="O28" s="51" t="s">
        <v>45</v>
      </c>
      <c r="P28" s="52">
        <f>12990+1544.229+444.454+11.827+1.868</f>
        <v>14992.377999999999</v>
      </c>
      <c r="Q28" s="52">
        <f>12990+1391.092+349.964+9.64</f>
        <v>14740.696</v>
      </c>
      <c r="R28" s="52">
        <v>5.4969999999999999</v>
      </c>
      <c r="S28" s="52">
        <v>5.0679999999999996</v>
      </c>
      <c r="T28" s="52">
        <v>4.734</v>
      </c>
      <c r="U28" s="53">
        <v>4.4640000000000004</v>
      </c>
      <c r="V28" s="5">
        <v>4.4640000000000004</v>
      </c>
      <c r="W28" s="52">
        <v>4.3940000000000001</v>
      </c>
      <c r="X28" s="52">
        <v>4.26</v>
      </c>
      <c r="Y28" s="52">
        <v>4.1269999999999998</v>
      </c>
      <c r="Z28" s="52">
        <v>3.9940000000000002</v>
      </c>
    </row>
    <row r="29" spans="1:26" x14ac:dyDescent="0.3">
      <c r="A29" s="17" t="s">
        <v>4</v>
      </c>
      <c r="B29" s="17"/>
      <c r="C29" s="18"/>
      <c r="D29" s="18"/>
      <c r="E29" s="18">
        <f t="shared" ref="E29:H29" si="24">(E27/B27)^(1/3)-1</f>
        <v>0.13542232104063645</v>
      </c>
      <c r="F29" s="18">
        <f t="shared" si="24"/>
        <v>0.28923198938929806</v>
      </c>
      <c r="G29" s="18">
        <f t="shared" si="24"/>
        <v>0.31771142507585215</v>
      </c>
      <c r="H29" s="18">
        <f t="shared" si="24"/>
        <v>0.2027127063787757</v>
      </c>
      <c r="I29" s="18">
        <f>(I27/F27)^(1/3)-1</f>
        <v>0.12975934224035823</v>
      </c>
      <c r="J29" s="18">
        <f>(J27/G27)^(1/3)-1</f>
        <v>0.17280360416736684</v>
      </c>
      <c r="K29" s="103">
        <f>(K27/H27)^(1/3)-1</f>
        <v>0.25322743213136212</v>
      </c>
      <c r="L29" s="103">
        <f>(L27/H27)^(1/3)-1</f>
        <v>0.46140638414442026</v>
      </c>
      <c r="M29" s="123" t="s">
        <v>108</v>
      </c>
      <c r="O29" s="51" t="s">
        <v>46</v>
      </c>
      <c r="P29" s="52">
        <v>262.01100000000002</v>
      </c>
      <c r="Q29" s="52">
        <v>692.95600000000002</v>
      </c>
      <c r="R29" s="52">
        <v>1647.1590000000001</v>
      </c>
      <c r="S29" s="52">
        <v>5593.3109999999997</v>
      </c>
      <c r="T29" s="52">
        <v>9482.1360000000004</v>
      </c>
      <c r="U29" s="53">
        <v>11402.245000000001</v>
      </c>
      <c r="V29" s="5">
        <v>131.57</v>
      </c>
      <c r="W29" s="52">
        <v>60.5</v>
      </c>
      <c r="X29" s="52">
        <v>26.167000000000002</v>
      </c>
      <c r="Y29" s="52">
        <v>89.513000000000005</v>
      </c>
      <c r="Z29" s="52">
        <v>70.227999999999994</v>
      </c>
    </row>
    <row r="30" spans="1:26" x14ac:dyDescent="0.3">
      <c r="E30" s="28"/>
      <c r="F30" s="28"/>
      <c r="G30" s="28"/>
      <c r="H30" s="28"/>
      <c r="I30" s="28"/>
      <c r="J30" s="28"/>
      <c r="K30" s="104"/>
      <c r="L30" s="104"/>
      <c r="M30" s="104"/>
      <c r="O30" s="51" t="s">
        <v>47</v>
      </c>
      <c r="P30" s="52">
        <v>7513.0439999999999</v>
      </c>
      <c r="Q30" s="52">
        <v>7170.1580000000004</v>
      </c>
      <c r="R30" s="52">
        <v>9581.4089999999997</v>
      </c>
      <c r="S30" s="52">
        <v>7909.317</v>
      </c>
      <c r="T30" s="52">
        <v>7406.9750000000004</v>
      </c>
      <c r="U30" s="53">
        <v>7050.0529999999999</v>
      </c>
      <c r="V30" s="5">
        <v>19851.006000000001</v>
      </c>
      <c r="W30" s="52">
        <v>19317.7</v>
      </c>
      <c r="X30" s="52">
        <v>19095.353999999999</v>
      </c>
      <c r="Y30" s="52">
        <v>18693.330000000002</v>
      </c>
      <c r="Z30" s="52">
        <v>18314.284</v>
      </c>
    </row>
    <row r="31" spans="1:26" x14ac:dyDescent="0.3">
      <c r="A31" s="115" t="s">
        <v>67</v>
      </c>
      <c r="B31" s="115"/>
      <c r="C31" s="115"/>
      <c r="D31" s="115"/>
      <c r="E31" s="115"/>
      <c r="F31" s="115"/>
      <c r="G31" s="115"/>
      <c r="H31" s="47"/>
      <c r="I31" s="47"/>
      <c r="J31" s="47"/>
      <c r="K31" s="88"/>
      <c r="L31" s="88"/>
      <c r="M31" s="88"/>
      <c r="O31" s="51" t="s">
        <v>48</v>
      </c>
      <c r="P31" s="52">
        <v>0.20499999999999999</v>
      </c>
      <c r="Q31" s="52">
        <v>9.0999999999999998E-2</v>
      </c>
      <c r="R31" s="59">
        <v>3.1E-2</v>
      </c>
      <c r="S31" s="52">
        <v>0.183</v>
      </c>
      <c r="T31" s="77">
        <v>0</v>
      </c>
      <c r="U31" s="77">
        <v>0</v>
      </c>
      <c r="V31" s="77">
        <v>0</v>
      </c>
      <c r="W31" s="59">
        <v>0</v>
      </c>
      <c r="X31" s="59">
        <v>0</v>
      </c>
      <c r="Y31" s="59">
        <v>0</v>
      </c>
      <c r="Z31" s="59">
        <v>0</v>
      </c>
    </row>
    <row r="32" spans="1:26" x14ac:dyDescent="0.3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103</v>
      </c>
      <c r="K32" s="32" t="s">
        <v>104</v>
      </c>
      <c r="L32" s="32" t="s">
        <v>105</v>
      </c>
      <c r="M32"/>
      <c r="O32" s="51" t="s">
        <v>49</v>
      </c>
      <c r="P32" s="52"/>
      <c r="Q32" s="52"/>
      <c r="R32" s="52"/>
      <c r="S32" s="52"/>
      <c r="T32" s="52"/>
      <c r="U32" s="53"/>
      <c r="V32" s="5"/>
      <c r="W32" s="3"/>
      <c r="X32" s="3"/>
      <c r="Y32" s="51"/>
      <c r="Z32" s="51"/>
    </row>
    <row r="33" spans="1:27" ht="28.8" x14ac:dyDescent="0.3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W41</f>
        <v>172.54900000000001</v>
      </c>
      <c r="K33" s="52">
        <f>X41</f>
        <v>539.31700000000001</v>
      </c>
      <c r="L33" s="52">
        <f>K38</f>
        <v>1639.1419999999998</v>
      </c>
      <c r="M33"/>
      <c r="O33" s="51" t="s">
        <v>50</v>
      </c>
      <c r="P33" s="52">
        <v>394.28899999999999</v>
      </c>
      <c r="Q33" s="52">
        <v>450.96699999999998</v>
      </c>
      <c r="R33" s="52">
        <v>21.908000000000001</v>
      </c>
      <c r="S33" s="52">
        <v>21.908000000000001</v>
      </c>
      <c r="T33" s="52">
        <v>22.024999999999999</v>
      </c>
      <c r="U33" s="53">
        <v>22.024999999999999</v>
      </c>
      <c r="V33" s="77">
        <v>0</v>
      </c>
      <c r="W33" s="59">
        <v>0</v>
      </c>
      <c r="X33" s="59">
        <v>0</v>
      </c>
      <c r="Y33" s="59">
        <v>0</v>
      </c>
      <c r="Z33" s="59">
        <v>0</v>
      </c>
    </row>
    <row r="34" spans="1:27" x14ac:dyDescent="0.3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52">
        <v>4800.8609999999999</v>
      </c>
      <c r="L34" s="52">
        <v>4774.8419999999996</v>
      </c>
      <c r="M34"/>
      <c r="O34" s="51" t="s">
        <v>51</v>
      </c>
      <c r="P34" s="59">
        <v>0</v>
      </c>
      <c r="Q34" s="54">
        <v>0</v>
      </c>
      <c r="R34" s="52">
        <v>5.1890000000000001</v>
      </c>
      <c r="S34" s="52">
        <v>11.5</v>
      </c>
      <c r="T34" s="52">
        <v>11.5</v>
      </c>
      <c r="U34" s="53">
        <v>11.5</v>
      </c>
      <c r="V34" s="5">
        <v>28.524999999999999</v>
      </c>
      <c r="W34" s="52">
        <v>96.504000000000005</v>
      </c>
      <c r="X34" s="52">
        <v>95.802000000000007</v>
      </c>
      <c r="Y34" s="52">
        <v>96.378</v>
      </c>
      <c r="Z34" s="52">
        <v>81.221000000000004</v>
      </c>
    </row>
    <row r="35" spans="1:27" x14ac:dyDescent="0.3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52">
        <v>-381.048</v>
      </c>
      <c r="L35" s="52">
        <v>-3091.873</v>
      </c>
      <c r="M35"/>
      <c r="O35" s="51" t="s">
        <v>52</v>
      </c>
      <c r="P35" s="59">
        <v>0</v>
      </c>
      <c r="Q35" s="54">
        <v>0</v>
      </c>
      <c r="R35" s="52">
        <v>7.444</v>
      </c>
      <c r="S35" s="52">
        <v>36.957999999999998</v>
      </c>
      <c r="T35" s="52">
        <v>43.877000000000002</v>
      </c>
      <c r="U35" s="53">
        <v>30.097000000000001</v>
      </c>
      <c r="V35" s="5">
        <v>32.337000000000003</v>
      </c>
      <c r="W35" s="52">
        <v>129.4</v>
      </c>
      <c r="X35" s="52">
        <v>284.28100000000001</v>
      </c>
      <c r="Y35" s="52">
        <v>735.48400000000004</v>
      </c>
      <c r="Z35" s="52">
        <v>33.929000000000002</v>
      </c>
    </row>
    <row r="36" spans="1:27" x14ac:dyDescent="0.3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52">
        <v>-3319.9879999999998</v>
      </c>
      <c r="L36" s="52">
        <v>-3222.5770000000002</v>
      </c>
      <c r="M36"/>
      <c r="O36" s="51" t="s">
        <v>53</v>
      </c>
      <c r="P36" s="52">
        <v>46.78</v>
      </c>
      <c r="Q36" s="52">
        <v>24.507000000000001</v>
      </c>
      <c r="R36" s="52">
        <v>590.56299999999999</v>
      </c>
      <c r="S36" s="52">
        <v>763.77599999999995</v>
      </c>
      <c r="T36" s="52">
        <v>562.37099999999998</v>
      </c>
      <c r="U36" s="53">
        <v>324.51900000000001</v>
      </c>
      <c r="V36" s="5">
        <v>783.42399999999998</v>
      </c>
      <c r="W36" s="52">
        <v>1006</v>
      </c>
      <c r="X36" s="52">
        <v>973.89800000000002</v>
      </c>
      <c r="Y36" s="52">
        <v>720.56</v>
      </c>
      <c r="Z36" s="52">
        <v>613.94000000000005</v>
      </c>
    </row>
    <row r="37" spans="1:27" x14ac:dyDescent="0.3">
      <c r="A37" s="3" t="s">
        <v>72</v>
      </c>
      <c r="B37" s="5">
        <f t="shared" ref="B37:I37" si="25">B34+B35+B36</f>
        <v>-59.476000000000113</v>
      </c>
      <c r="C37" s="5">
        <f t="shared" si="25"/>
        <v>135.83100000000013</v>
      </c>
      <c r="D37" s="5">
        <f t="shared" si="25"/>
        <v>204.87500000000023</v>
      </c>
      <c r="E37" s="5">
        <f t="shared" si="25"/>
        <v>-331.8280000000002</v>
      </c>
      <c r="F37" s="5">
        <f t="shared" si="25"/>
        <v>76.642000000000081</v>
      </c>
      <c r="G37" s="22">
        <f t="shared" si="25"/>
        <v>-99.734999999999786</v>
      </c>
      <c r="H37" s="7">
        <f t="shared" si="25"/>
        <v>946.2579999999997</v>
      </c>
      <c r="I37" s="7">
        <f t="shared" si="25"/>
        <v>-789.90000000000009</v>
      </c>
      <c r="J37" s="7">
        <v>366.76799999999997</v>
      </c>
      <c r="K37" s="89">
        <f>K36+K35+K34</f>
        <v>1099.8249999999998</v>
      </c>
      <c r="L37" s="89">
        <f>L36+L35+L34</f>
        <v>-1539.6080000000011</v>
      </c>
      <c r="M37"/>
      <c r="O37" s="51"/>
      <c r="P37" s="52"/>
      <c r="Q37" s="52"/>
      <c r="R37" s="52"/>
      <c r="S37" s="52"/>
      <c r="T37" s="52"/>
      <c r="U37" s="53"/>
      <c r="V37" s="6"/>
      <c r="W37" s="3"/>
      <c r="X37" s="3"/>
      <c r="Y37" s="51"/>
      <c r="Z37" s="51"/>
    </row>
    <row r="38" spans="1:27" x14ac:dyDescent="0.3">
      <c r="A38" s="8" t="s">
        <v>73</v>
      </c>
      <c r="B38" s="9">
        <f>B33+B37</f>
        <v>35.134999999999891</v>
      </c>
      <c r="C38" s="9">
        <f t="shared" ref="C38:H38" si="26">C33+C37</f>
        <v>166.28900000000013</v>
      </c>
      <c r="D38" s="9">
        <f t="shared" si="26"/>
        <v>371.16400000000021</v>
      </c>
      <c r="E38" s="9">
        <f t="shared" si="26"/>
        <v>39.335999999999785</v>
      </c>
      <c r="F38" s="9">
        <f t="shared" si="26"/>
        <v>115.97800000000008</v>
      </c>
      <c r="G38" s="24">
        <f t="shared" si="26"/>
        <v>16.243000000000208</v>
      </c>
      <c r="H38" s="24">
        <f t="shared" si="26"/>
        <v>962.50099999999975</v>
      </c>
      <c r="I38" s="24">
        <f>I33+I37</f>
        <v>172.60099999999989</v>
      </c>
      <c r="J38" s="24">
        <f>J33+J37</f>
        <v>539.31700000000001</v>
      </c>
      <c r="K38" s="105">
        <f>K33+K37</f>
        <v>1639.1419999999998</v>
      </c>
      <c r="L38" s="105">
        <f>L33+L37</f>
        <v>99.533999999998741</v>
      </c>
      <c r="M38"/>
      <c r="O38" s="35" t="s">
        <v>54</v>
      </c>
      <c r="P38" s="50">
        <f>SUM(P39:P45)</f>
        <v>502.17700000000002</v>
      </c>
      <c r="Q38" s="50">
        <f>SUM(Q39:Q45)</f>
        <v>760.34199999999998</v>
      </c>
      <c r="R38" s="50">
        <f>SUM(R39:R45)</f>
        <v>571.96600000000001</v>
      </c>
      <c r="S38" s="50">
        <f>SUM(S39:S45)</f>
        <v>230.40100000000001</v>
      </c>
      <c r="T38" s="50">
        <f t="shared" ref="T38:Z38" si="27">SUM(T40:T45)</f>
        <v>345.92399999999998</v>
      </c>
      <c r="U38" s="50">
        <f t="shared" si="27"/>
        <v>216.52499999999998</v>
      </c>
      <c r="V38" s="50">
        <f t="shared" si="27"/>
        <v>1155.4399999999998</v>
      </c>
      <c r="W38" s="50">
        <f t="shared" si="27"/>
        <v>397.649</v>
      </c>
      <c r="X38" s="50">
        <f t="shared" si="27"/>
        <v>782.42500000000007</v>
      </c>
      <c r="Y38" s="50">
        <f t="shared" si="27"/>
        <v>2090.319</v>
      </c>
      <c r="Z38" s="50">
        <f t="shared" si="27"/>
        <v>3379.3139999999999</v>
      </c>
    </row>
    <row r="39" spans="1:27" x14ac:dyDescent="0.3">
      <c r="B39" s="22"/>
      <c r="C39" s="22"/>
      <c r="D39" s="22"/>
      <c r="E39" s="22"/>
      <c r="F39" s="22"/>
      <c r="G39" s="22"/>
      <c r="H39" s="22"/>
      <c r="I39" s="22"/>
      <c r="J39" s="22"/>
      <c r="K39" s="106"/>
      <c r="L39" s="106"/>
      <c r="M39"/>
      <c r="O39" s="51" t="s">
        <v>55</v>
      </c>
      <c r="P39" s="52"/>
      <c r="Q39" s="52"/>
      <c r="R39" s="52"/>
      <c r="S39" s="52"/>
      <c r="T39" s="52"/>
      <c r="U39" s="53"/>
      <c r="V39" s="3"/>
      <c r="W39" s="3"/>
      <c r="X39" s="3"/>
      <c r="Y39" s="51"/>
      <c r="Z39" s="51"/>
    </row>
    <row r="40" spans="1:27" x14ac:dyDescent="0.3">
      <c r="A40" s="31" t="s">
        <v>78</v>
      </c>
      <c r="B40" s="37">
        <f t="shared" ref="B40:I40" si="28">B34</f>
        <v>2052.971</v>
      </c>
      <c r="C40" s="37">
        <f t="shared" si="28"/>
        <v>2172.4270000000001</v>
      </c>
      <c r="D40" s="37">
        <f t="shared" si="28"/>
        <v>2122.9810000000002</v>
      </c>
      <c r="E40" s="37">
        <f t="shared" si="28"/>
        <v>2239.8069999999998</v>
      </c>
      <c r="F40" s="37">
        <f t="shared" si="28"/>
        <v>3109.1179999999999</v>
      </c>
      <c r="G40" s="37">
        <f t="shared" si="28"/>
        <v>2094.2420000000002</v>
      </c>
      <c r="H40" s="37">
        <f t="shared" si="28"/>
        <v>3402.2089999999998</v>
      </c>
      <c r="I40" s="37">
        <f t="shared" si="28"/>
        <v>3923.1</v>
      </c>
      <c r="J40" s="37">
        <f>J34</f>
        <v>4247.6260000000002</v>
      </c>
      <c r="K40" s="37">
        <f>K34</f>
        <v>4800.8609999999999</v>
      </c>
      <c r="L40" s="37">
        <f>L34</f>
        <v>4774.8419999999996</v>
      </c>
      <c r="M40"/>
      <c r="O40" s="51" t="s">
        <v>56</v>
      </c>
      <c r="P40" s="52">
        <v>40.997999999999998</v>
      </c>
      <c r="Q40" s="52">
        <v>38.420999999999999</v>
      </c>
      <c r="R40" s="52">
        <v>25.66</v>
      </c>
      <c r="S40" s="52">
        <v>23.727</v>
      </c>
      <c r="T40" s="52">
        <v>39.232999999999997</v>
      </c>
      <c r="U40" s="53">
        <v>18.818999999999999</v>
      </c>
      <c r="V40" s="5">
        <v>31.456</v>
      </c>
      <c r="W40" s="52">
        <v>28.5</v>
      </c>
      <c r="X40" s="52">
        <v>31.98</v>
      </c>
      <c r="Y40" s="52">
        <v>38.167999999999999</v>
      </c>
      <c r="Z40" s="52">
        <v>33.276000000000003</v>
      </c>
      <c r="AA40" s="22"/>
    </row>
    <row r="41" spans="1:27" x14ac:dyDescent="0.3">
      <c r="A41" s="33" t="s">
        <v>79</v>
      </c>
      <c r="B41" s="36">
        <v>756.20799999999997</v>
      </c>
      <c r="C41" s="36">
        <f>(Q28-P28)+(Q29-P29)+C17</f>
        <v>885.81600000000117</v>
      </c>
      <c r="D41" s="36">
        <f>(R28-Q28)+(R29-Q29)+D17</f>
        <v>-13058.846000000001</v>
      </c>
      <c r="E41" s="36">
        <f>(S28-R28)+(S29-R29)+E17</f>
        <v>4534.5639999999994</v>
      </c>
      <c r="F41" s="36">
        <f>(T28-S28)+(T29-S29)+F17</f>
        <v>4420.9910000000009</v>
      </c>
      <c r="G41" s="36">
        <f>(U28-T28)+(U29-T29)+G17</f>
        <v>2406.8800000000006</v>
      </c>
      <c r="H41" s="36">
        <f>(V28-U28)+(V29-U29)+H17</f>
        <v>-10515.798000000001</v>
      </c>
      <c r="I41" s="36">
        <f>(W28-V28)+(W29-V29)+I17</f>
        <v>956.61800000000005</v>
      </c>
      <c r="J41" s="36">
        <f>(X28-W28)+(X29-W29)+J17</f>
        <v>529.63300000000004</v>
      </c>
      <c r="K41" s="36">
        <f>(Y28-X28)+(Y29-X29)+K17</f>
        <v>626.529</v>
      </c>
      <c r="L41" s="36">
        <f>(Y28-X28)+(Y29-X29)+L17</f>
        <v>618.97399999999993</v>
      </c>
      <c r="M41"/>
      <c r="O41" s="51" t="s">
        <v>74</v>
      </c>
      <c r="P41" s="52">
        <v>35.134999999999998</v>
      </c>
      <c r="Q41" s="52">
        <v>172.97200000000001</v>
      </c>
      <c r="R41" s="52">
        <v>371.16399999999999</v>
      </c>
      <c r="S41" s="52">
        <v>41.555</v>
      </c>
      <c r="T41" s="52">
        <v>115.97799999999999</v>
      </c>
      <c r="U41" s="53">
        <v>16.242999999999999</v>
      </c>
      <c r="V41" s="5">
        <v>962.50099999999998</v>
      </c>
      <c r="W41" s="87">
        <v>172.54900000000001</v>
      </c>
      <c r="X41" s="87">
        <v>539.31700000000001</v>
      </c>
      <c r="Y41" s="87">
        <v>1639.1420000000001</v>
      </c>
      <c r="Z41" s="87">
        <v>99.534000000000006</v>
      </c>
    </row>
    <row r="42" spans="1:27" x14ac:dyDescent="0.3">
      <c r="A42" s="35" t="s">
        <v>80</v>
      </c>
      <c r="B42" s="34">
        <f t="shared" ref="B42:G42" si="29">B40-B41</f>
        <v>1296.7629999999999</v>
      </c>
      <c r="C42" s="34">
        <f t="shared" si="29"/>
        <v>1286.610999999999</v>
      </c>
      <c r="D42" s="34">
        <f t="shared" si="29"/>
        <v>15181.827000000001</v>
      </c>
      <c r="E42" s="34">
        <f t="shared" si="29"/>
        <v>-2294.7569999999996</v>
      </c>
      <c r="F42" s="34">
        <f t="shared" si="29"/>
        <v>-1311.873000000001</v>
      </c>
      <c r="G42" s="34">
        <f t="shared" si="29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34">
        <f>K40-K41</f>
        <v>4174.3320000000003</v>
      </c>
      <c r="L42" s="34">
        <f>L40-L41</f>
        <v>4155.8679999999995</v>
      </c>
      <c r="M42"/>
      <c r="O42" s="51" t="s">
        <v>57</v>
      </c>
      <c r="P42" s="54">
        <v>0</v>
      </c>
      <c r="Q42" s="54">
        <v>0</v>
      </c>
      <c r="R42" s="52">
        <v>6.7910000000000004</v>
      </c>
      <c r="S42" s="52">
        <v>8.8729999999999993</v>
      </c>
      <c r="T42" s="52">
        <v>10.523</v>
      </c>
      <c r="U42" s="53">
        <v>12.154999999999999</v>
      </c>
      <c r="V42" s="5">
        <v>39.362000000000002</v>
      </c>
      <c r="W42" s="52">
        <v>57.4</v>
      </c>
      <c r="X42" s="52">
        <v>70.204999999999998</v>
      </c>
      <c r="Y42" s="52">
        <v>100.218</v>
      </c>
      <c r="Z42" s="52">
        <v>2878.2649999999999</v>
      </c>
    </row>
    <row r="43" spans="1:27" x14ac:dyDescent="0.3">
      <c r="B43" s="25"/>
      <c r="C43" s="22"/>
      <c r="D43" s="22"/>
      <c r="E43" s="22"/>
      <c r="F43" s="22"/>
      <c r="G43" s="22"/>
      <c r="H43" s="22"/>
      <c r="I43" s="22"/>
      <c r="J43" s="22"/>
      <c r="K43" s="106"/>
      <c r="L43" s="106"/>
      <c r="M43"/>
      <c r="O43" s="51" t="s">
        <v>59</v>
      </c>
      <c r="P43" s="52">
        <v>385.10700000000003</v>
      </c>
      <c r="Q43" s="55">
        <v>505.65499999999997</v>
      </c>
      <c r="R43" s="54">
        <v>0</v>
      </c>
      <c r="S43" s="54">
        <v>0</v>
      </c>
      <c r="T43" s="54">
        <v>0</v>
      </c>
      <c r="U43" s="56">
        <v>0</v>
      </c>
      <c r="V43" s="3">
        <v>0</v>
      </c>
      <c r="W43" s="59">
        <v>0</v>
      </c>
      <c r="X43" s="59">
        <v>0</v>
      </c>
      <c r="Y43" s="59">
        <v>0</v>
      </c>
      <c r="Z43" s="59">
        <v>0</v>
      </c>
    </row>
    <row r="44" spans="1:27" x14ac:dyDescent="0.3">
      <c r="B44" s="25"/>
      <c r="D44" s="38"/>
      <c r="G44" s="38"/>
      <c r="H44" s="38"/>
      <c r="I44" s="38"/>
      <c r="J44" s="38"/>
      <c r="K44" s="107"/>
      <c r="L44" s="107"/>
      <c r="M44" s="107"/>
      <c r="O44" s="51" t="s">
        <v>100</v>
      </c>
      <c r="P44" s="54">
        <v>0</v>
      </c>
      <c r="Q44" s="54">
        <v>0</v>
      </c>
      <c r="R44" s="52">
        <v>20.047000000000001</v>
      </c>
      <c r="S44" s="52">
        <v>17.89</v>
      </c>
      <c r="T44" s="52">
        <v>18.603000000000002</v>
      </c>
      <c r="U44" s="53">
        <v>23.143999999999998</v>
      </c>
      <c r="V44" s="5">
        <v>26.167000000000002</v>
      </c>
      <c r="W44" s="52">
        <v>26.5</v>
      </c>
      <c r="X44" s="52">
        <v>28.736000000000001</v>
      </c>
      <c r="Y44" s="52">
        <v>54.78</v>
      </c>
      <c r="Z44" s="52">
        <v>55.609000000000002</v>
      </c>
    </row>
    <row r="45" spans="1:27" x14ac:dyDescent="0.3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108">
        <v>90118040</v>
      </c>
      <c r="L45" s="108">
        <v>90118040</v>
      </c>
      <c r="M45" s="108">
        <v>90118040</v>
      </c>
      <c r="O45" s="51" t="s">
        <v>101</v>
      </c>
      <c r="P45" s="52">
        <v>40.936999999999998</v>
      </c>
      <c r="Q45" s="52">
        <v>43.293999999999997</v>
      </c>
      <c r="R45" s="52">
        <v>148.304</v>
      </c>
      <c r="S45" s="52">
        <v>138.35599999999999</v>
      </c>
      <c r="T45" s="52">
        <v>161.58699999999999</v>
      </c>
      <c r="U45" s="53">
        <v>146.16399999999999</v>
      </c>
      <c r="V45" s="5">
        <v>95.953999999999994</v>
      </c>
      <c r="W45" s="52">
        <v>112.7</v>
      </c>
      <c r="X45" s="52">
        <v>112.187</v>
      </c>
      <c r="Y45" s="52">
        <v>258.01100000000002</v>
      </c>
      <c r="Z45" s="52">
        <v>312.63</v>
      </c>
    </row>
    <row r="46" spans="1:27" x14ac:dyDescent="0.3">
      <c r="A46" s="39" t="s">
        <v>82</v>
      </c>
      <c r="B46" s="41">
        <f>(B45*P55)/1000000</f>
        <v>16662.825595999999</v>
      </c>
      <c r="C46" s="41">
        <f>(C45*Q55)/1000000</f>
        <v>18379.574258000001</v>
      </c>
      <c r="D46" s="41">
        <f>(D45*R55)/1000000</f>
        <v>17901.948646000001</v>
      </c>
      <c r="E46" s="41">
        <f>(E45*S55)/1000000</f>
        <v>18402.103768000001</v>
      </c>
      <c r="F46" s="41">
        <f>(F45*T55)/1000000</f>
        <v>21587.776482000001</v>
      </c>
      <c r="G46" s="41">
        <f>(G45*U55)/1000000</f>
        <v>24620.248528</v>
      </c>
      <c r="H46" s="41">
        <f>(H45*V55)/1000000</f>
        <v>36975.431812000003</v>
      </c>
      <c r="I46" s="41">
        <f>(I45*W55)/1000000</f>
        <v>33857.347628000003</v>
      </c>
      <c r="J46" s="41">
        <f>(J45*X55)/1000000</f>
        <v>38435.344060000003</v>
      </c>
      <c r="K46" s="36">
        <f>(K45*Y55)/1000000</f>
        <v>46131.424676000002</v>
      </c>
      <c r="L46" s="36">
        <f>(L45*Z55)/1000000</f>
        <v>45171.667549999998</v>
      </c>
      <c r="M46" s="126">
        <f>(M45*AA55)/1000000</f>
        <v>55710.972328000011</v>
      </c>
      <c r="O46" s="51"/>
      <c r="P46" s="52"/>
      <c r="Q46" s="52"/>
      <c r="R46" s="52"/>
      <c r="S46" s="52"/>
      <c r="T46" s="52"/>
      <c r="U46" s="53"/>
      <c r="V46" s="6"/>
      <c r="W46" s="3"/>
      <c r="X46" s="3"/>
      <c r="Y46" s="51"/>
      <c r="Z46" s="51"/>
    </row>
    <row r="47" spans="1:27" x14ac:dyDescent="0.3">
      <c r="A47" s="39" t="s">
        <v>83</v>
      </c>
      <c r="B47" s="41">
        <f t="shared" ref="B47:I47" si="30">P9+P17</f>
        <v>5957.8710000000001</v>
      </c>
      <c r="C47" s="41">
        <f t="shared" si="30"/>
        <v>5288.7790000000005</v>
      </c>
      <c r="D47" s="41">
        <f t="shared" si="30"/>
        <v>6108.6570000000002</v>
      </c>
      <c r="E47" s="41">
        <f t="shared" si="30"/>
        <v>8533.9069999999992</v>
      </c>
      <c r="F47" s="41">
        <f t="shared" si="30"/>
        <v>9889.884</v>
      </c>
      <c r="G47" s="41">
        <f t="shared" si="30"/>
        <v>9783.9069999999992</v>
      </c>
      <c r="H47" s="41">
        <f t="shared" si="30"/>
        <v>11783.905999999999</v>
      </c>
      <c r="I47" s="41">
        <f t="shared" si="30"/>
        <v>11450.2</v>
      </c>
      <c r="J47" s="41">
        <f>X9+X17</f>
        <v>11455.775</v>
      </c>
      <c r="K47" s="109">
        <f>Y9+Y17</f>
        <v>11463.8123</v>
      </c>
      <c r="L47" s="109">
        <f>Z9+Z17</f>
        <v>11468.942999999999</v>
      </c>
      <c r="M47" s="127">
        <v>11463.8123</v>
      </c>
      <c r="O47" s="35" t="s">
        <v>58</v>
      </c>
      <c r="P47" s="50">
        <f t="shared" ref="P47:W47" si="31">P27+P38</f>
        <v>23710.883999999998</v>
      </c>
      <c r="Q47" s="50">
        <f t="shared" si="31"/>
        <v>23839.717000000004</v>
      </c>
      <c r="R47" s="50">
        <f t="shared" si="31"/>
        <v>12431.166000000001</v>
      </c>
      <c r="S47" s="50">
        <f t="shared" si="31"/>
        <v>14572.422</v>
      </c>
      <c r="T47" s="50">
        <f t="shared" si="31"/>
        <v>17879.542000000001</v>
      </c>
      <c r="U47" s="50">
        <f t="shared" si="31"/>
        <v>19061.428000000007</v>
      </c>
      <c r="V47" s="50">
        <f t="shared" si="31"/>
        <v>21986.766</v>
      </c>
      <c r="W47" s="50">
        <f t="shared" si="31"/>
        <v>21012.147000000004</v>
      </c>
      <c r="X47" s="50">
        <f>X27+X38</f>
        <v>21262.186999999998</v>
      </c>
      <c r="Y47" s="50">
        <f>Y27+Y38</f>
        <v>22429.711000000003</v>
      </c>
      <c r="Z47" s="50">
        <f>Z27+Z38</f>
        <v>22496.91</v>
      </c>
    </row>
    <row r="48" spans="1:27" x14ac:dyDescent="0.3">
      <c r="A48" s="39" t="s">
        <v>84</v>
      </c>
      <c r="B48" s="43">
        <f t="shared" ref="B48:I49" si="32">P41</f>
        <v>35.134999999999998</v>
      </c>
      <c r="C48" s="43">
        <f t="shared" si="32"/>
        <v>172.97200000000001</v>
      </c>
      <c r="D48" s="43">
        <f t="shared" si="32"/>
        <v>371.16399999999999</v>
      </c>
      <c r="E48" s="43">
        <f t="shared" si="32"/>
        <v>41.555</v>
      </c>
      <c r="F48" s="43">
        <f t="shared" si="32"/>
        <v>115.97799999999999</v>
      </c>
      <c r="G48" s="43">
        <f t="shared" si="32"/>
        <v>16.242999999999999</v>
      </c>
      <c r="H48" s="43">
        <f t="shared" si="32"/>
        <v>962.50099999999998</v>
      </c>
      <c r="I48" s="43">
        <f t="shared" si="32"/>
        <v>172.54900000000001</v>
      </c>
      <c r="J48" s="43">
        <f t="shared" ref="J48:K49" si="33">X41</f>
        <v>539.31700000000001</v>
      </c>
      <c r="K48" s="110">
        <f>Y41</f>
        <v>1639.1420000000001</v>
      </c>
      <c r="L48" s="110">
        <f>Z41</f>
        <v>99.534000000000006</v>
      </c>
      <c r="M48" s="128">
        <v>1639.1420000000001</v>
      </c>
      <c r="O48" s="33"/>
      <c r="P48" s="60"/>
      <c r="Q48" s="60"/>
      <c r="R48" s="60"/>
      <c r="S48" s="60"/>
      <c r="T48" s="60"/>
      <c r="U48" s="61"/>
      <c r="V48" s="39"/>
      <c r="W48" s="3"/>
      <c r="X48" s="3"/>
      <c r="Y48" s="51"/>
      <c r="Z48" s="51"/>
    </row>
    <row r="49" spans="1:27" x14ac:dyDescent="0.3">
      <c r="A49" s="39" t="s">
        <v>85</v>
      </c>
      <c r="B49" s="43">
        <f t="shared" si="32"/>
        <v>0</v>
      </c>
      <c r="C49" s="43">
        <f t="shared" si="32"/>
        <v>0</v>
      </c>
      <c r="D49" s="43">
        <f t="shared" si="32"/>
        <v>6.7910000000000004</v>
      </c>
      <c r="E49" s="43">
        <f t="shared" si="32"/>
        <v>8.8729999999999993</v>
      </c>
      <c r="F49" s="43">
        <f t="shared" si="32"/>
        <v>10.523</v>
      </c>
      <c r="G49" s="43">
        <f t="shared" si="32"/>
        <v>12.154999999999999</v>
      </c>
      <c r="H49" s="43">
        <f t="shared" si="32"/>
        <v>39.362000000000002</v>
      </c>
      <c r="I49" s="43">
        <f t="shared" si="32"/>
        <v>57.4</v>
      </c>
      <c r="J49" s="43">
        <f t="shared" si="33"/>
        <v>70.204999999999998</v>
      </c>
      <c r="K49" s="110">
        <f>Y42</f>
        <v>100.218</v>
      </c>
      <c r="L49" s="110">
        <f>Z42</f>
        <v>2878.2649999999999</v>
      </c>
      <c r="M49" s="128">
        <v>100.218</v>
      </c>
      <c r="O49" s="62" t="s">
        <v>60</v>
      </c>
      <c r="P49" s="63">
        <f t="shared" ref="P49:W49" si="34">P47-P15</f>
        <v>21181.500999999997</v>
      </c>
      <c r="Q49" s="63">
        <f t="shared" si="34"/>
        <v>20825.984000000004</v>
      </c>
      <c r="R49" s="63">
        <f t="shared" si="34"/>
        <v>11699.050000000001</v>
      </c>
      <c r="S49" s="63">
        <f t="shared" si="34"/>
        <v>13633.632000000001</v>
      </c>
      <c r="T49" s="63">
        <f t="shared" si="34"/>
        <v>16747.341</v>
      </c>
      <c r="U49" s="64">
        <f t="shared" si="34"/>
        <v>17762.915000000008</v>
      </c>
      <c r="V49" s="64">
        <f t="shared" si="34"/>
        <v>19010.702000000001</v>
      </c>
      <c r="W49" s="63">
        <f t="shared" si="34"/>
        <v>18992.447000000004</v>
      </c>
      <c r="X49" s="63">
        <f>X47-X15</f>
        <v>19316.274999999998</v>
      </c>
      <c r="Y49" s="63">
        <f>Y47-Y15</f>
        <v>19878.275000000001</v>
      </c>
      <c r="Z49" s="63">
        <f>Z47-Z15</f>
        <v>20590.474999999999</v>
      </c>
    </row>
    <row r="50" spans="1:27" x14ac:dyDescent="0.3">
      <c r="A50" s="8" t="s">
        <v>86</v>
      </c>
      <c r="B50" s="46">
        <f t="shared" ref="B50:H50" si="35">B46+B47-B48-B49</f>
        <v>22585.561596</v>
      </c>
      <c r="C50" s="46">
        <f t="shared" si="35"/>
        <v>23495.381258000001</v>
      </c>
      <c r="D50" s="46">
        <f t="shared" si="35"/>
        <v>23632.650645999998</v>
      </c>
      <c r="E50" s="46">
        <f t="shared" si="35"/>
        <v>26885.582768</v>
      </c>
      <c r="F50" s="46">
        <f t="shared" si="35"/>
        <v>31351.159481999999</v>
      </c>
      <c r="G50" s="46">
        <f t="shared" si="35"/>
        <v>34375.757528000002</v>
      </c>
      <c r="H50" s="46">
        <f t="shared" si="35"/>
        <v>47757.474812</v>
      </c>
      <c r="I50" s="46">
        <f>I46+I47-I48-I49</f>
        <v>45077.598628</v>
      </c>
      <c r="J50" s="46">
        <f>J46+J47-J48-J49</f>
        <v>49281.59706</v>
      </c>
      <c r="K50" s="34">
        <f>K46+K47-K48-K49</f>
        <v>55855.876976</v>
      </c>
      <c r="L50" s="34">
        <f>L46+L47-L48-L49</f>
        <v>53662.811549999999</v>
      </c>
      <c r="M50" s="129">
        <f>M46+M47-M48-M49</f>
        <v>65435.424628000008</v>
      </c>
      <c r="O50" s="62" t="s">
        <v>61</v>
      </c>
      <c r="P50" s="63">
        <f>26077.183+0.605</f>
        <v>26077.788</v>
      </c>
      <c r="Q50" s="63">
        <f>26080.398+0.605</f>
        <v>26081.003000000001</v>
      </c>
      <c r="R50" s="63">
        <v>7.7279999999999998</v>
      </c>
      <c r="S50" s="63">
        <v>7.7279999999999998</v>
      </c>
      <c r="T50" s="63">
        <v>7.7279999999999998</v>
      </c>
      <c r="U50" s="64">
        <v>7.7</v>
      </c>
      <c r="V50" s="75">
        <v>8.1280000000000001</v>
      </c>
      <c r="W50" s="75">
        <v>8.1280000000000001</v>
      </c>
      <c r="X50" s="75"/>
      <c r="Y50" s="62"/>
      <c r="Z50" s="62"/>
    </row>
    <row r="51" spans="1:27" x14ac:dyDescent="0.3">
      <c r="O51" s="65" t="s">
        <v>62</v>
      </c>
      <c r="P51" s="66">
        <f t="shared" ref="P51:W51" si="36">P9+P17</f>
        <v>5957.8710000000001</v>
      </c>
      <c r="Q51" s="66">
        <f t="shared" si="36"/>
        <v>5288.7790000000005</v>
      </c>
      <c r="R51" s="66">
        <f t="shared" si="36"/>
        <v>6108.6570000000002</v>
      </c>
      <c r="S51" s="66">
        <f t="shared" si="36"/>
        <v>8533.9069999999992</v>
      </c>
      <c r="T51" s="66">
        <f t="shared" si="36"/>
        <v>9889.884</v>
      </c>
      <c r="U51" s="67">
        <f t="shared" si="36"/>
        <v>9783.9069999999992</v>
      </c>
      <c r="V51" s="67">
        <f t="shared" si="36"/>
        <v>11783.905999999999</v>
      </c>
      <c r="W51" s="66">
        <f t="shared" si="36"/>
        <v>11450.2</v>
      </c>
      <c r="X51" s="66">
        <f>X9+X17</f>
        <v>11455.775</v>
      </c>
      <c r="Y51" s="66">
        <f>Y9+Y17</f>
        <v>11463.8123</v>
      </c>
      <c r="Z51" s="66">
        <f>Z9+Z17</f>
        <v>11468.942999999999</v>
      </c>
    </row>
    <row r="52" spans="1:27" x14ac:dyDescent="0.3">
      <c r="O52" s="68"/>
      <c r="P52" s="68"/>
      <c r="Q52" s="68"/>
      <c r="R52" s="68"/>
      <c r="S52" s="68"/>
      <c r="T52" s="68"/>
      <c r="U52" s="68"/>
    </row>
    <row r="53" spans="1:27" x14ac:dyDescent="0.3">
      <c r="O53" s="118" t="s">
        <v>99</v>
      </c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20"/>
    </row>
    <row r="54" spans="1:27" x14ac:dyDescent="0.3">
      <c r="O54" s="84"/>
      <c r="P54" s="83" t="s">
        <v>18</v>
      </c>
      <c r="Q54" s="83" t="s">
        <v>19</v>
      </c>
      <c r="R54" s="83" t="s">
        <v>20</v>
      </c>
      <c r="S54" s="83" t="s">
        <v>21</v>
      </c>
      <c r="T54" s="83" t="s">
        <v>22</v>
      </c>
      <c r="U54" s="83" t="s">
        <v>23</v>
      </c>
      <c r="V54" s="83" t="s">
        <v>75</v>
      </c>
      <c r="W54" s="85" t="s">
        <v>102</v>
      </c>
      <c r="X54" s="4" t="s">
        <v>103</v>
      </c>
      <c r="Y54" s="32" t="s">
        <v>104</v>
      </c>
      <c r="Z54" s="32" t="s">
        <v>105</v>
      </c>
      <c r="AA54" s="124" t="s">
        <v>106</v>
      </c>
    </row>
    <row r="55" spans="1:27" x14ac:dyDescent="0.3">
      <c r="O55" s="33" t="s">
        <v>63</v>
      </c>
      <c r="P55" s="69">
        <v>184.9</v>
      </c>
      <c r="Q55" s="33">
        <v>203.95</v>
      </c>
      <c r="R55" s="33">
        <v>198.65</v>
      </c>
      <c r="S55" s="33">
        <v>204.2</v>
      </c>
      <c r="T55" s="33">
        <v>239.55</v>
      </c>
      <c r="U55" s="33">
        <v>273.2</v>
      </c>
      <c r="V55" s="33">
        <v>410.3</v>
      </c>
      <c r="W55" s="82">
        <v>375.7</v>
      </c>
      <c r="X55" s="82">
        <v>426.5</v>
      </c>
      <c r="Y55" s="82">
        <v>511.9</v>
      </c>
      <c r="Z55" s="112">
        <v>501.25</v>
      </c>
      <c r="AA55" s="125">
        <v>618.20000000000005</v>
      </c>
    </row>
    <row r="56" spans="1:27" x14ac:dyDescent="0.3">
      <c r="O56" s="33" t="s">
        <v>64</v>
      </c>
      <c r="P56" s="69">
        <f>B27</f>
        <v>4.83</v>
      </c>
      <c r="Q56" s="69">
        <f>C27</f>
        <v>5.67</v>
      </c>
      <c r="R56" s="69">
        <f>D27</f>
        <v>6.18</v>
      </c>
      <c r="S56" s="69">
        <f>E27</f>
        <v>7.07</v>
      </c>
      <c r="T56" s="69">
        <f>F27</f>
        <v>12.15</v>
      </c>
      <c r="U56" s="69">
        <f>G27</f>
        <v>14.14</v>
      </c>
      <c r="V56" s="76">
        <f>H27</f>
        <v>12.3</v>
      </c>
      <c r="W56" s="76">
        <f>I27</f>
        <v>17.52</v>
      </c>
      <c r="X56" s="76">
        <f>J27</f>
        <v>22.81</v>
      </c>
      <c r="Y56" s="69">
        <f>K27</f>
        <v>24.21</v>
      </c>
      <c r="Z56" s="92">
        <f>M27</f>
        <v>7.7</v>
      </c>
      <c r="AA56" s="25">
        <f>M27+L27-6.48</f>
        <v>39.61</v>
      </c>
    </row>
    <row r="57" spans="1:27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111"/>
      <c r="L57" s="111"/>
      <c r="M57" s="111"/>
      <c r="O57" s="33" t="s">
        <v>77</v>
      </c>
      <c r="P57" s="70">
        <f>(P3*1000000)/B45</f>
        <v>161.52068997505938</v>
      </c>
      <c r="Q57" s="70">
        <f>(Q3*1000000)/C45</f>
        <v>166.98826339321184</v>
      </c>
      <c r="R57" s="70">
        <f>(R3*1000000)/D45</f>
        <v>46.651247630330168</v>
      </c>
      <c r="S57" s="70">
        <f>(S3*1000000)/E45</f>
        <v>39.111136904442212</v>
      </c>
      <c r="T57" s="70">
        <f>(T3*1000000)/F45</f>
        <v>50.355189704525309</v>
      </c>
      <c r="U57" s="70">
        <f>(U3*1000000)/G45</f>
        <v>63.742398303380767</v>
      </c>
      <c r="V57" s="70">
        <f>(V3*1000000)/H45</f>
        <v>53.038792232942484</v>
      </c>
      <c r="W57" s="70">
        <f>(W3*1000000)/I45</f>
        <v>44.585745539960698</v>
      </c>
      <c r="X57" s="70">
        <f>(X3*1000000)/J45</f>
        <v>41.395751616435511</v>
      </c>
      <c r="Y57" s="70">
        <f>(Y3*1000000)/K45</f>
        <v>39.606631480223051</v>
      </c>
      <c r="Z57" s="113">
        <f t="shared" ref="Z57" si="37">(Z3*1000000)/M45</f>
        <v>51.998900553096803</v>
      </c>
      <c r="AA57" t="s">
        <v>107</v>
      </c>
    </row>
    <row r="58" spans="1:27" x14ac:dyDescent="0.3">
      <c r="O58" s="33" t="s">
        <v>87</v>
      </c>
      <c r="P58" s="69">
        <f>P55/P56</f>
        <v>38.281573498964804</v>
      </c>
      <c r="Q58" s="69">
        <f t="shared" ref="Q58:W58" si="38">Q55/Q56</f>
        <v>35.970017636684304</v>
      </c>
      <c r="R58" s="69">
        <f t="shared" si="38"/>
        <v>32.144012944983821</v>
      </c>
      <c r="S58" s="69">
        <f t="shared" si="38"/>
        <v>28.882602545968879</v>
      </c>
      <c r="T58" s="69">
        <f t="shared" si="38"/>
        <v>19.716049382716051</v>
      </c>
      <c r="U58" s="69">
        <f t="shared" si="38"/>
        <v>19.321074964639319</v>
      </c>
      <c r="V58" s="69">
        <f t="shared" si="38"/>
        <v>33.357723577235774</v>
      </c>
      <c r="W58" s="69">
        <f t="shared" si="38"/>
        <v>21.44406392694064</v>
      </c>
      <c r="X58" s="69">
        <f>X55/X56</f>
        <v>18.697939500219203</v>
      </c>
      <c r="Y58" s="69">
        <f>Y55/Y56</f>
        <v>21.14415530772408</v>
      </c>
      <c r="Z58" s="92">
        <f>Z55/Z56</f>
        <v>65.097402597402592</v>
      </c>
      <c r="AA58" s="92">
        <f>AA55/AA56</f>
        <v>15.607169906589247</v>
      </c>
    </row>
    <row r="59" spans="1:27" x14ac:dyDescent="0.3">
      <c r="O59" s="33" t="s">
        <v>88</v>
      </c>
      <c r="P59" s="70">
        <f>P55/P57</f>
        <v>1.1447449860977603</v>
      </c>
      <c r="Q59" s="70">
        <f t="shared" ref="Q59:V59" si="39">Q55/Q57</f>
        <v>1.2213433199179593</v>
      </c>
      <c r="R59" s="70">
        <f t="shared" si="39"/>
        <v>4.2581926548701414</v>
      </c>
      <c r="S59" s="70">
        <f t="shared" si="39"/>
        <v>5.2210192840701373</v>
      </c>
      <c r="T59" s="70">
        <f t="shared" si="39"/>
        <v>4.7572057896243454</v>
      </c>
      <c r="U59" s="70">
        <f t="shared" si="39"/>
        <v>4.2860012687271292</v>
      </c>
      <c r="V59" s="70">
        <f t="shared" si="39"/>
        <v>7.7358473435441839</v>
      </c>
      <c r="W59" s="70">
        <f>W55/W57</f>
        <v>8.4264599694373796</v>
      </c>
      <c r="X59" s="70">
        <f>X55/X57</f>
        <v>10.302989638933505</v>
      </c>
      <c r="Y59" s="70">
        <f>Y55/Y57</f>
        <v>12.92460330173772</v>
      </c>
      <c r="Z59" s="70">
        <f>Z55/Z57</f>
        <v>9.6396268895756094</v>
      </c>
      <c r="AA59" t="s">
        <v>107</v>
      </c>
    </row>
    <row r="60" spans="1:27" x14ac:dyDescent="0.3">
      <c r="O60" s="33" t="s">
        <v>89</v>
      </c>
      <c r="P60" s="70">
        <f>B50/B13</f>
        <v>10.064970182849466</v>
      </c>
      <c r="Q60" s="70">
        <f>C50/C13</f>
        <v>10.365603281115717</v>
      </c>
      <c r="R60" s="70">
        <f>D50/D13</f>
        <v>10.596080672728577</v>
      </c>
      <c r="S60" s="70">
        <f>E50/E13</f>
        <v>11.823118706200219</v>
      </c>
      <c r="T60" s="70">
        <f>F50/F13</f>
        <v>13.521129695831119</v>
      </c>
      <c r="U60" s="70">
        <f>G50/G13</f>
        <v>14.344647666912728</v>
      </c>
      <c r="V60" s="70">
        <f>H50/H13</f>
        <v>15.911801714340738</v>
      </c>
      <c r="W60" s="70">
        <f>I50/I13</f>
        <v>9.7783567121105381</v>
      </c>
      <c r="X60" s="70">
        <f>J50/J13</f>
        <v>10.236290515952144</v>
      </c>
      <c r="Y60" s="70">
        <f>K50/K13</f>
        <v>10.914315706500085</v>
      </c>
      <c r="Z60" s="70">
        <f>M50/M13</f>
        <v>49.000140501852243</v>
      </c>
      <c r="AA60" t="s">
        <v>107</v>
      </c>
    </row>
    <row r="61" spans="1:27" x14ac:dyDescent="0.3">
      <c r="O61" s="33" t="s">
        <v>90</v>
      </c>
      <c r="P61" s="71">
        <f>B22/P3</f>
        <v>2.993034865245282E-2</v>
      </c>
      <c r="Q61" s="71">
        <f>C22/Q3</f>
        <v>3.3943498605024852E-2</v>
      </c>
      <c r="R61" s="71">
        <f>D22/R3</f>
        <v>0.13246580318016679</v>
      </c>
      <c r="S61" s="71">
        <f>E22/S3</f>
        <v>0.18066605213215955</v>
      </c>
      <c r="T61" s="71">
        <f>F22/T3</f>
        <v>0.24124690854448216</v>
      </c>
      <c r="U61" s="71">
        <f>G22/U3</f>
        <v>0.22176629517055058</v>
      </c>
      <c r="V61" s="71">
        <f>H22/V3</f>
        <v>0.23182792747406139</v>
      </c>
      <c r="W61" s="71">
        <f>I22/W3</f>
        <v>0.3930253510470435</v>
      </c>
      <c r="X61" s="71">
        <f>J22/X3</f>
        <v>0.55123570434450664</v>
      </c>
      <c r="Y61" s="71">
        <f>K22/Y3</f>
        <v>0.6112969255355154</v>
      </c>
      <c r="Z61" s="71">
        <f>M22/Z3</f>
        <v>0.14804806362046921</v>
      </c>
      <c r="AA61" t="s">
        <v>107</v>
      </c>
    </row>
    <row r="62" spans="1:27" x14ac:dyDescent="0.3">
      <c r="O62" s="33" t="s">
        <v>91</v>
      </c>
      <c r="P62" s="71">
        <f>(B13-B17)/P49</f>
        <v>6.7941077452443072E-2</v>
      </c>
      <c r="Q62" s="71">
        <f>(C13-C17)/Q49</f>
        <v>7.4911946537556159E-2</v>
      </c>
      <c r="R62" s="71">
        <f>(D13-D17)/R49</f>
        <v>0.12891388617024455</v>
      </c>
      <c r="S62" s="71">
        <f>(E13-E17)/S49</f>
        <v>0.12360191326859929</v>
      </c>
      <c r="T62" s="71">
        <f>(F13-F17)/T49</f>
        <v>0.10665448324005582</v>
      </c>
      <c r="U62" s="71">
        <f>(G13-G17)/U49</f>
        <v>0.10749226689425691</v>
      </c>
      <c r="V62" s="71">
        <f>(H13-H17)/V49</f>
        <v>0.11817080715904124</v>
      </c>
      <c r="W62" s="71">
        <f>(I13-I17)/W49</f>
        <v>0.18861066191207479</v>
      </c>
      <c r="X62" s="71">
        <f>(J13-J17)/X49</f>
        <v>0.22003724838251681</v>
      </c>
      <c r="Y62" s="71">
        <f>(K13-K17)/Y49</f>
        <v>0.22911218403005293</v>
      </c>
      <c r="Z62" s="71">
        <f t="shared" ref="Z62" si="40">(M13-M17)/Z49</f>
        <v>5.8078601877810013E-2</v>
      </c>
      <c r="AA62" t="s">
        <v>107</v>
      </c>
    </row>
    <row r="63" spans="1:27" x14ac:dyDescent="0.3">
      <c r="O63" s="33" t="s">
        <v>92</v>
      </c>
      <c r="P63" s="69">
        <f>B47/P3</f>
        <v>0.4093089083705278</v>
      </c>
      <c r="Q63" s="69">
        <f>C47/Q3</f>
        <v>0.35144529527721913</v>
      </c>
      <c r="R63" s="69">
        <f>D47/R3</f>
        <v>1.4530171481825325</v>
      </c>
      <c r="S63" s="69">
        <f>E47/S3</f>
        <v>2.4212282235328129</v>
      </c>
      <c r="T63" s="69">
        <f>F47/T3</f>
        <v>2.1793913543037755</v>
      </c>
      <c r="U63" s="69">
        <f>G47/U3</f>
        <v>1.7032256099047061</v>
      </c>
      <c r="V63" s="69">
        <f>H47/V3</f>
        <v>2.4653802121951092</v>
      </c>
      <c r="W63" s="69">
        <f>I47/W3</f>
        <v>2.8497404168263656</v>
      </c>
      <c r="X63" s="69">
        <f>J47/X3</f>
        <v>3.0708384175435812</v>
      </c>
      <c r="Y63" s="69">
        <f>K47/Y3</f>
        <v>3.2118068614552211</v>
      </c>
      <c r="Z63" s="92">
        <f>M47/Z3</f>
        <v>2.4463757770688637</v>
      </c>
      <c r="AA63" t="s">
        <v>107</v>
      </c>
    </row>
    <row r="64" spans="1:27" x14ac:dyDescent="0.3">
      <c r="O64" s="33" t="s">
        <v>93</v>
      </c>
      <c r="P64" s="69">
        <f>(B47-B48-B49)/P3</f>
        <v>0.40689511517232019</v>
      </c>
      <c r="Q64" s="69">
        <f>(C47-C48-C49)/Q3</f>
        <v>0.33995111191000127</v>
      </c>
      <c r="R64" s="69">
        <f>(D47-D48-D49)/R3</f>
        <v>1.3631160297793665</v>
      </c>
      <c r="S64" s="69">
        <f>(E47-E48-E49)/S3</f>
        <v>2.4069208615172308</v>
      </c>
      <c r="T64" s="69">
        <f>(F47-F48-F49)/T3</f>
        <v>2.151514871049697</v>
      </c>
      <c r="U64" s="69">
        <f>(G47-G48-G49)/U3</f>
        <v>1.6982819610259834</v>
      </c>
      <c r="V64" s="69">
        <f>(H47-H48-H49)/V3</f>
        <v>2.255774567383412</v>
      </c>
      <c r="W64" s="69">
        <f>(I47-I48-I49)/W3</f>
        <v>2.7925104156815115</v>
      </c>
      <c r="X64" s="69">
        <f>(J47-J48-J49)/X3</f>
        <v>2.9074497708620601</v>
      </c>
      <c r="Y64" s="69">
        <f>(K47-K48-K49)/Y3</f>
        <v>2.7244918011291936</v>
      </c>
      <c r="Z64" s="92">
        <f t="shared" ref="Z64" si="41">(M47-M48-M49)/Z3</f>
        <v>2.0751966212829211</v>
      </c>
      <c r="AA64" t="s">
        <v>107</v>
      </c>
    </row>
    <row r="65" spans="15:27" x14ac:dyDescent="0.3">
      <c r="O65" s="33" t="s">
        <v>94</v>
      </c>
      <c r="P65" s="33">
        <v>0.75</v>
      </c>
      <c r="Q65" s="33">
        <v>0.75</v>
      </c>
      <c r="R65" s="33">
        <v>0.75</v>
      </c>
      <c r="S65" s="33">
        <v>0.75</v>
      </c>
      <c r="T65" s="33">
        <v>0.75</v>
      </c>
      <c r="U65" s="69">
        <v>8</v>
      </c>
      <c r="V65" s="86">
        <v>26</v>
      </c>
      <c r="W65" s="86">
        <v>26</v>
      </c>
      <c r="X65" s="86">
        <v>26</v>
      </c>
      <c r="Y65" s="92">
        <v>26</v>
      </c>
      <c r="Z65" s="92">
        <v>26</v>
      </c>
      <c r="AA65" t="s">
        <v>107</v>
      </c>
    </row>
    <row r="66" spans="15:27" x14ac:dyDescent="0.3">
      <c r="O66" s="33" t="s">
        <v>95</v>
      </c>
      <c r="P66" s="71">
        <f t="shared" ref="P66:W66" si="42">P65/P55</f>
        <v>4.0562466197944834E-3</v>
      </c>
      <c r="Q66" s="71">
        <f t="shared" si="42"/>
        <v>3.6773719048786469E-3</v>
      </c>
      <c r="R66" s="71">
        <f t="shared" si="42"/>
        <v>3.7754845205134656E-3</v>
      </c>
      <c r="S66" s="71">
        <f t="shared" si="42"/>
        <v>3.6728697355533791E-3</v>
      </c>
      <c r="T66" s="71">
        <f t="shared" si="42"/>
        <v>3.1308703819661866E-3</v>
      </c>
      <c r="U66" s="71">
        <f t="shared" si="42"/>
        <v>2.9282576866764276E-2</v>
      </c>
      <c r="V66" s="71">
        <f>V65/V55</f>
        <v>6.3368267121618332E-2</v>
      </c>
      <c r="W66" s="71">
        <f t="shared" si="42"/>
        <v>6.9204152249134954E-2</v>
      </c>
      <c r="X66" s="71">
        <f>X65/X55</f>
        <v>6.096131301289566E-2</v>
      </c>
      <c r="Y66" s="71">
        <f>Y65/Y55</f>
        <v>5.0791170150420006E-2</v>
      </c>
      <c r="Z66" s="71">
        <f>Z65/Z55</f>
        <v>5.1870324189526182E-2</v>
      </c>
      <c r="AA66" t="s">
        <v>107</v>
      </c>
    </row>
    <row r="67" spans="15:27" x14ac:dyDescent="0.3">
      <c r="O67" s="33" t="s">
        <v>96</v>
      </c>
      <c r="P67" s="69">
        <f>365/(B6/((29.916+P40)/2))</f>
        <v>4.4649269220313066</v>
      </c>
      <c r="Q67" s="69">
        <f>365/(C6/((P40+Q40)/2))</f>
        <v>4.9541812405852736</v>
      </c>
      <c r="R67" s="69">
        <f>365/(D6/((Q40+R40)/2))</f>
        <v>3.983685660747176</v>
      </c>
      <c r="S67" s="69">
        <f>365/(E6/((R40+S40)/2))</f>
        <v>3.0046783042826313</v>
      </c>
      <c r="T67" s="69">
        <f>365/(F6/((S40+T40)/2))</f>
        <v>3.6946824187947702</v>
      </c>
      <c r="U67" s="69">
        <f>365/(G6/((T40+U40)/2))</f>
        <v>3.3173859431254624</v>
      </c>
      <c r="V67" s="69">
        <f>365/(H6/((U40+V40)/2))</f>
        <v>2.372553184832209</v>
      </c>
      <c r="W67" s="69">
        <f>365/(I6/((V40+W40)/2))</f>
        <v>1.9009386235929682</v>
      </c>
      <c r="X67" s="69">
        <f>365/(J6/((W40+X40)/2))</f>
        <v>1.8171880144879815</v>
      </c>
      <c r="Y67" s="69">
        <f>365/(K6/((X40+Y40)/2))</f>
        <v>1.9849040736395422</v>
      </c>
      <c r="Z67" s="69">
        <f t="shared" ref="Z67" si="43">365/(M6/((Y40+Z40)/2))</f>
        <v>7.5514325593786742</v>
      </c>
      <c r="AA67" t="s">
        <v>107</v>
      </c>
    </row>
    <row r="68" spans="15:27" x14ac:dyDescent="0.3">
      <c r="O68" s="33" t="s">
        <v>97</v>
      </c>
      <c r="P68" s="71">
        <f>B18/B47</f>
        <v>0.12127368988016021</v>
      </c>
      <c r="Q68" s="71">
        <f>C18/C47</f>
        <v>0.14740339878070152</v>
      </c>
      <c r="R68" s="71">
        <f>D18/D47</f>
        <v>0.10731556870847389</v>
      </c>
      <c r="S68" s="71">
        <f>E18/E47</f>
        <v>8.1693648641823741E-2</v>
      </c>
      <c r="T68" s="71">
        <f>F18/F47</f>
        <v>3.248480973083203E-2</v>
      </c>
      <c r="U68" s="71">
        <f>G18/G47</f>
        <v>1.434273649575778E-2</v>
      </c>
      <c r="V68" s="71">
        <f>H18/H47</f>
        <v>2.9354952424094357E-2</v>
      </c>
      <c r="W68" s="71">
        <f>I18/I47</f>
        <v>0.10976314824195209</v>
      </c>
      <c r="X68" s="71">
        <f>J18/J47</f>
        <v>0.10779829387361396</v>
      </c>
      <c r="Y68" s="71">
        <f>K18/K47</f>
        <v>0.10208253322500754</v>
      </c>
      <c r="Z68" s="71">
        <f t="shared" ref="Z68" si="44">M18/M47</f>
        <v>2.2927189762170133E-2</v>
      </c>
      <c r="AA68" t="s">
        <v>107</v>
      </c>
    </row>
    <row r="69" spans="15:27" x14ac:dyDescent="0.3">
      <c r="O69" s="33" t="s">
        <v>98</v>
      </c>
      <c r="P69" s="69">
        <f>B6/(P28+P29+P30)</f>
        <v>0.12731114658380682</v>
      </c>
      <c r="Q69" s="69">
        <f>C6/(Q28+Q29+Q30)</f>
        <v>0.12942964040133056</v>
      </c>
      <c r="R69" s="69">
        <f>D6/(R28+R29+R30)</f>
        <v>0.26131849869125734</v>
      </c>
      <c r="S69" s="69">
        <f>E6/(S28+S29+S30)</f>
        <v>0.22207325364740219</v>
      </c>
      <c r="T69" s="69">
        <f>F6/(T28+T29+T30)</f>
        <v>0.18408651198113865</v>
      </c>
      <c r="U69" s="69">
        <f>G6/(U28+U29+U30)</f>
        <v>0.17303284292228505</v>
      </c>
      <c r="V69" s="69">
        <f>H6/(V28+V29+V30)</f>
        <v>0.19348642920612555</v>
      </c>
      <c r="W69" s="69">
        <f>I6/(W28+W29+W30)</f>
        <v>0.29697201520085492</v>
      </c>
      <c r="X69" s="69">
        <f>J6/(X28+X29+X30)</f>
        <v>0.31758180228038796</v>
      </c>
      <c r="Y69" s="69">
        <f>K6/(Y28+Y29+Y30)</f>
        <v>0.34330639799818702</v>
      </c>
      <c r="Z69" s="69">
        <f t="shared" ref="Z69" si="45">M6/(Z28+Z29+Z30)</f>
        <v>9.3897242114177187E-2</v>
      </c>
      <c r="AA69" t="s">
        <v>107</v>
      </c>
    </row>
    <row r="70" spans="15:27" x14ac:dyDescent="0.3">
      <c r="Z70" s="114"/>
    </row>
    <row r="71" spans="15:27" x14ac:dyDescent="0.3">
      <c r="Z71" s="114"/>
    </row>
    <row r="72" spans="15:27" x14ac:dyDescent="0.3">
      <c r="Z72" s="114"/>
    </row>
    <row r="73" spans="15:27" x14ac:dyDescent="0.3">
      <c r="Z73" s="114"/>
    </row>
    <row r="74" spans="15:27" x14ac:dyDescent="0.3">
      <c r="Z74" s="114"/>
    </row>
    <row r="75" spans="15:27" x14ac:dyDescent="0.3">
      <c r="Z75" s="114"/>
    </row>
    <row r="76" spans="15:27" x14ac:dyDescent="0.3">
      <c r="Z76" s="114"/>
    </row>
    <row r="77" spans="15:27" x14ac:dyDescent="0.3">
      <c r="Z77" s="114"/>
    </row>
  </sheetData>
  <mergeCells count="4">
    <mergeCell ref="A31:G31"/>
    <mergeCell ref="A1:H1"/>
    <mergeCell ref="O1:V1"/>
    <mergeCell ref="O53:Z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DELL</cp:lastModifiedBy>
  <cp:lastPrinted>2024-11-15T06:45:12Z</cp:lastPrinted>
  <dcterms:created xsi:type="dcterms:W3CDTF">2021-04-28T06:41:22Z</dcterms:created>
  <dcterms:modified xsi:type="dcterms:W3CDTF">2026-08-21T05:35:23Z</dcterms:modified>
</cp:coreProperties>
</file>