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chambal\"/>
    </mc:Choice>
  </mc:AlternateContent>
  <xr:revisionPtr revIDLastSave="0" documentId="13_ncr:1_{9C2D38A9-C5A6-4F88-8D06-BE7EF5C219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6" r:id="rId1"/>
    <sheet name="Sheet1" sheetId="7" r:id="rId2"/>
    <sheet name="peer sheet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6" l="1"/>
  <c r="G55" i="6"/>
  <c r="G58" i="6" s="1"/>
  <c r="H55" i="6"/>
  <c r="H58" i="6"/>
  <c r="H30" i="6"/>
  <c r="F57" i="6"/>
  <c r="F56" i="6"/>
  <c r="N83" i="6"/>
  <c r="O83" i="6"/>
  <c r="O75" i="6"/>
  <c r="P69" i="6"/>
  <c r="P66" i="6"/>
  <c r="H21" i="6"/>
  <c r="H17" i="6"/>
  <c r="H14" i="6"/>
  <c r="H8" i="6"/>
  <c r="H23" i="6" s="1"/>
  <c r="O46" i="6"/>
  <c r="G57" i="6"/>
  <c r="O11" i="6"/>
  <c r="O82" i="6" s="1"/>
  <c r="O79" i="6"/>
  <c r="O77" i="6"/>
  <c r="O76" i="6"/>
  <c r="O69" i="6"/>
  <c r="O29" i="6"/>
  <c r="G50" i="6"/>
  <c r="G49" i="6"/>
  <c r="G51" i="6" s="1"/>
  <c r="G44" i="6"/>
  <c r="G46" i="6" s="1"/>
  <c r="G8" i="6"/>
  <c r="G14" i="6" s="1"/>
  <c r="G36" i="6"/>
  <c r="G37" i="6"/>
  <c r="G7" i="6"/>
  <c r="G6" i="6"/>
  <c r="C2" i="7"/>
  <c r="C1" i="7"/>
  <c r="O8" i="6"/>
  <c r="O67" i="6" s="1"/>
  <c r="O70" i="6" s="1"/>
  <c r="D6" i="6"/>
  <c r="K76" i="6"/>
  <c r="L76" i="6"/>
  <c r="D55" i="6"/>
  <c r="C55" i="6"/>
  <c r="K66" i="6"/>
  <c r="K69" i="6" s="1"/>
  <c r="F50" i="6"/>
  <c r="E50" i="6"/>
  <c r="D50" i="6"/>
  <c r="C50" i="6"/>
  <c r="D49" i="6"/>
  <c r="C44" i="6"/>
  <c r="C46" i="6" s="1"/>
  <c r="N46" i="6"/>
  <c r="M46" i="6"/>
  <c r="M8" i="6"/>
  <c r="L46" i="6"/>
  <c r="L15" i="6"/>
  <c r="N8" i="6"/>
  <c r="L8" i="6"/>
  <c r="L67" i="6" s="1"/>
  <c r="L70" i="6" s="1"/>
  <c r="K8" i="6"/>
  <c r="K67" i="6" s="1"/>
  <c r="K70" i="6" s="1"/>
  <c r="K46" i="6"/>
  <c r="F36" i="6"/>
  <c r="N66" i="6"/>
  <c r="O15" i="6"/>
  <c r="F37" i="6"/>
  <c r="F8" i="6"/>
  <c r="F14" i="6" s="1"/>
  <c r="F21" i="6" s="1"/>
  <c r="F23" i="6" s="1"/>
  <c r="H26" i="6" l="1"/>
  <c r="H25" i="6"/>
  <c r="O78" i="6"/>
  <c r="O80" i="6" s="1"/>
  <c r="O61" i="6"/>
  <c r="G56" i="6"/>
  <c r="O71" i="6" s="1"/>
  <c r="O74" i="6"/>
  <c r="G17" i="6"/>
  <c r="G15" i="6"/>
  <c r="G21" i="6"/>
  <c r="G23" i="6" s="1"/>
  <c r="F17" i="6"/>
  <c r="F26" i="6"/>
  <c r="O53" i="6"/>
  <c r="O12" i="6" s="1"/>
  <c r="O42" i="6"/>
  <c r="N76" i="6"/>
  <c r="M76" i="6"/>
  <c r="H27" i="6" l="1"/>
  <c r="G26" i="6"/>
  <c r="O72" i="6" s="1"/>
  <c r="O51" i="6"/>
  <c r="O81" i="6" s="1"/>
  <c r="O62" i="6"/>
  <c r="O13" i="6"/>
  <c r="G25" i="6"/>
  <c r="F30" i="6"/>
  <c r="F25" i="6"/>
  <c r="F27" i="6"/>
  <c r="M79" i="6"/>
  <c r="L79" i="6"/>
  <c r="N79" i="6"/>
  <c r="K79" i="6"/>
  <c r="N77" i="6"/>
  <c r="M77" i="6"/>
  <c r="L77" i="6"/>
  <c r="K77" i="6"/>
  <c r="N69" i="6"/>
  <c r="M66" i="6"/>
  <c r="M69" i="6" s="1"/>
  <c r="L66" i="6"/>
  <c r="L69" i="6" s="1"/>
  <c r="E57" i="6"/>
  <c r="D57" i="6"/>
  <c r="C57" i="6"/>
  <c r="E55" i="6"/>
  <c r="F49" i="6"/>
  <c r="E49" i="6"/>
  <c r="E51" i="6" s="1"/>
  <c r="D51" i="6"/>
  <c r="C49" i="6"/>
  <c r="C51" i="6" s="1"/>
  <c r="F44" i="6"/>
  <c r="E44" i="6"/>
  <c r="E46" i="6" s="1"/>
  <c r="D44" i="6"/>
  <c r="D46" i="6" s="1"/>
  <c r="F46" i="6" l="1"/>
  <c r="F51" i="6"/>
  <c r="G30" i="6"/>
  <c r="G27" i="6"/>
  <c r="K78" i="6"/>
  <c r="K80" i="6" s="1"/>
  <c r="M53" i="6"/>
  <c r="L53" i="6"/>
  <c r="K53" i="6"/>
  <c r="N53" i="6"/>
  <c r="N12" i="6" s="1"/>
  <c r="K42" i="6"/>
  <c r="N29" i="6"/>
  <c r="M29" i="6"/>
  <c r="L29" i="6"/>
  <c r="K29" i="6"/>
  <c r="M15" i="6"/>
  <c r="K15" i="6"/>
  <c r="N15" i="6"/>
  <c r="N11" i="6"/>
  <c r="N82" i="6" s="1"/>
  <c r="M11" i="6"/>
  <c r="L11" i="6"/>
  <c r="K11" i="6"/>
  <c r="G31" i="6" l="1"/>
  <c r="K62" i="6"/>
  <c r="K12" i="6"/>
  <c r="N42" i="6"/>
  <c r="N51" i="6" s="1"/>
  <c r="N81" i="6" s="1"/>
  <c r="L61" i="6"/>
  <c r="D56" i="6"/>
  <c r="D58" i="6" s="1"/>
  <c r="L82" i="6"/>
  <c r="E56" i="6"/>
  <c r="E58" i="6" s="1"/>
  <c r="M82" i="6"/>
  <c r="F58" i="6"/>
  <c r="M42" i="6"/>
  <c r="M51" i="6" s="1"/>
  <c r="M81" i="6" s="1"/>
  <c r="N78" i="6"/>
  <c r="N80" i="6" s="1"/>
  <c r="C56" i="6"/>
  <c r="C58" i="6" s="1"/>
  <c r="K82" i="6"/>
  <c r="L42" i="6"/>
  <c r="M78" i="6"/>
  <c r="M80" i="6" s="1"/>
  <c r="L78" i="6"/>
  <c r="L80" i="6" s="1"/>
  <c r="K61" i="6"/>
  <c r="M61" i="6"/>
  <c r="N61" i="6"/>
  <c r="O84" i="6" s="1"/>
  <c r="K51" i="6"/>
  <c r="K81" i="6" s="1"/>
  <c r="L12" i="6"/>
  <c r="N67" i="6"/>
  <c r="E36" i="6"/>
  <c r="D36" i="6"/>
  <c r="F7" i="6"/>
  <c r="F6" i="6"/>
  <c r="E6" i="6"/>
  <c r="E8" i="6"/>
  <c r="E14" i="6" s="1"/>
  <c r="D8" i="6"/>
  <c r="D14" i="6" s="1"/>
  <c r="G16" i="6" s="1"/>
  <c r="C8" i="6"/>
  <c r="C14" i="6" s="1"/>
  <c r="L71" i="6" l="1"/>
  <c r="K71" i="6"/>
  <c r="C21" i="6"/>
  <c r="C23" i="6" s="1"/>
  <c r="C26" i="6" s="1"/>
  <c r="F16" i="6"/>
  <c r="F15" i="6"/>
  <c r="E21" i="6"/>
  <c r="E23" i="6" s="1"/>
  <c r="D17" i="6"/>
  <c r="D21" i="6"/>
  <c r="D23" i="6" s="1"/>
  <c r="C17" i="6"/>
  <c r="L13" i="6"/>
  <c r="M84" i="6"/>
  <c r="K75" i="6"/>
  <c r="N13" i="6"/>
  <c r="O73" i="6" s="1"/>
  <c r="L74" i="6"/>
  <c r="L75" i="6"/>
  <c r="M71" i="6"/>
  <c r="L51" i="6"/>
  <c r="L81" i="6" s="1"/>
  <c r="K74" i="6"/>
  <c r="M12" i="6"/>
  <c r="M67" i="6"/>
  <c r="M70" i="6" s="1"/>
  <c r="K13" i="6"/>
  <c r="L84" i="6"/>
  <c r="M74" i="6"/>
  <c r="K84" i="6"/>
  <c r="N70" i="6"/>
  <c r="N75" i="6"/>
  <c r="M75" i="6"/>
  <c r="N74" i="6"/>
  <c r="M13" i="6"/>
  <c r="N84" i="6"/>
  <c r="N71" i="6"/>
  <c r="L62" i="6"/>
  <c r="M62" i="6"/>
  <c r="N62" i="6"/>
  <c r="D15" i="6"/>
  <c r="E17" i="6"/>
  <c r="E15" i="6"/>
  <c r="F28" i="6" l="1"/>
  <c r="K72" i="6"/>
  <c r="N73" i="6"/>
  <c r="M73" i="6"/>
  <c r="C25" i="6"/>
  <c r="K83" i="6"/>
  <c r="L73" i="6"/>
  <c r="E26" i="6"/>
  <c r="M72" i="6" s="1"/>
  <c r="M83" i="6"/>
  <c r="K73" i="6"/>
  <c r="D25" i="6"/>
  <c r="L83" i="6"/>
  <c r="N72" i="6"/>
  <c r="E25" i="6"/>
  <c r="D26" i="6"/>
  <c r="D27" i="6" l="1"/>
  <c r="G28" i="6"/>
  <c r="E27" i="6"/>
  <c r="E30" i="6"/>
  <c r="F31" i="6" s="1"/>
  <c r="C27" i="6"/>
  <c r="L72" i="6"/>
  <c r="C30" i="6"/>
  <c r="F32" i="6" s="1"/>
  <c r="D30" i="6"/>
  <c r="G32" i="6" s="1"/>
  <c r="D31" i="6" l="1"/>
  <c r="E31" i="6"/>
  <c r="F42" i="2" l="1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G56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l="1"/>
  <c r="G45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6" i="2" s="1"/>
  <c r="D44" i="2"/>
  <c r="E20" i="2"/>
  <c r="E54" i="2" s="1"/>
  <c r="D20" i="2"/>
  <c r="D54" i="2" s="1"/>
  <c r="E14" i="2"/>
  <c r="E44" i="2"/>
  <c r="E42" i="2"/>
  <c r="E43" i="2" s="1"/>
  <c r="E37" i="2" s="1"/>
  <c r="E48" i="2"/>
  <c r="E7" i="2"/>
  <c r="E50" i="2"/>
  <c r="D15" i="2"/>
  <c r="D48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D38" i="2" l="1"/>
  <c r="E55" i="2"/>
  <c r="E59" i="2"/>
  <c r="D11" i="2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</calcChain>
</file>

<file path=xl/sharedStrings.xml><?xml version="1.0" encoding="utf-8"?>
<sst xmlns="http://schemas.openxmlformats.org/spreadsheetml/2006/main" count="277" uniqueCount="177">
  <si>
    <t>Income</t>
  </si>
  <si>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</si>
  <si>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</si>
  <si>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</si>
  <si>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</si>
  <si>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</si>
  <si>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</si>
  <si>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</si>
  <si>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</si>
  <si>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</si>
  <si>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</si>
  <si>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</si>
  <si>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Other Comprehensive Income</t>
  </si>
  <si>
    <t>EPS</t>
  </si>
  <si>
    <t>FY21</t>
  </si>
  <si>
    <t>Consolidated Income Statement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</si>
  <si>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</si>
  <si>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</si>
  <si>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</si>
  <si>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</si>
  <si>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</si>
  <si>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</si>
  <si>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</si>
  <si>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</si>
  <si>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</si>
  <si>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Inventories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</si>
  <si>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</si>
  <si>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</si>
  <si>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</si>
  <si>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</si>
  <si>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</si>
  <si>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</si>
  <si>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</si>
  <si>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</si>
  <si>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</si>
  <si>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</si>
  <si>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</si>
  <si>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</si>
  <si>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</si>
  <si>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</si>
  <si>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</si>
  <si>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</si>
  <si>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</si>
  <si>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</si>
  <si>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</si>
  <si>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</si>
  <si>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</si>
  <si>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</si>
  <si>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</si>
  <si>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</si>
  <si>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</si>
  <si>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</si>
  <si>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</si>
  <si>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</si>
  <si>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</si>
  <si>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</si>
  <si>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</si>
  <si>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</si>
  <si>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</si>
  <si>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</si>
  <si>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</si>
  <si>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</si>
  <si>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</si>
  <si>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</si>
  <si>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</si>
  <si>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</si>
  <si>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</si>
  <si>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</si>
  <si>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</si>
  <si>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</si>
  <si>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</si>
  <si>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</si>
  <si>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</si>
  <si>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</si>
  <si>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</si>
  <si>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</si>
  <si>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</si>
  <si>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</si>
  <si>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</si>
  <si>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</si>
  <si>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</si>
  <si>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</si>
  <si>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</si>
  <si>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</si>
  <si>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</si>
  <si>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</si>
  <si>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</si>
  <si>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</si>
  <si>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</si>
  <si>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</si>
  <si>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</si>
  <si>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</si>
  <si>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</si>
  <si>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</si>
  <si>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</si>
  <si>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</si>
  <si>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</si>
  <si>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</si>
  <si>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</si>
  <si>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</si>
  <si>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</si>
  <si>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</si>
  <si>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</si>
  <si>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</si>
  <si>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</si>
  <si>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</si>
  <si>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</si>
  <si>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</si>
  <si>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</si>
  <si>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</si>
  <si>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</si>
  <si>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</si>
  <si>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</si>
  <si>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</si>
  <si>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>NON CURRENT LIABILITIES</t>
  </si>
  <si>
    <t>FY23</t>
  </si>
  <si>
    <t>Market Cap (Rs. Mn)</t>
  </si>
  <si>
    <t>FY24</t>
  </si>
  <si>
    <t>FY25</t>
  </si>
  <si>
    <t>Other income</t>
  </si>
  <si>
    <t>Depreciation and amortisation expense</t>
  </si>
  <si>
    <t>Finance costs</t>
  </si>
  <si>
    <t>Basic</t>
  </si>
  <si>
    <t>Diluted</t>
  </si>
  <si>
    <t>Right-of-use assets</t>
  </si>
  <si>
    <t>Other non-current assets</t>
  </si>
  <si>
    <t xml:space="preserve">(i) Borrowings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</si>
  <si>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</si>
  <si>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</si>
  <si>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</si>
  <si>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</si>
  <si>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</si>
  <si>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</si>
  <si>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Cash Flow Statement (INR Mn)</t>
  </si>
  <si>
    <t>Ratios</t>
  </si>
  <si>
    <t>INR Mn</t>
  </si>
  <si>
    <t>Other expenses</t>
  </si>
  <si>
    <t>Equity Share Capital</t>
  </si>
  <si>
    <t>(iii) Trade payables</t>
  </si>
  <si>
    <t>Current tax liabilities (net)</t>
  </si>
  <si>
    <t>(iv) Other financial liabilities</t>
  </si>
  <si>
    <t>Total Comprehensive Income</t>
  </si>
  <si>
    <t>Year Ended (INR Mn)</t>
  </si>
  <si>
    <t>Changes in inventories of finished goods and stock- in-trade</t>
  </si>
  <si>
    <t>Purchase of stock-in-trade</t>
  </si>
  <si>
    <t>Cost of materials consumed</t>
  </si>
  <si>
    <t>Employee benefits expense</t>
  </si>
  <si>
    <t>N/A</t>
  </si>
  <si>
    <t>Other Equity</t>
  </si>
  <si>
    <t>CURRENT ASSETS</t>
  </si>
  <si>
    <t>Capital work-in-progress</t>
  </si>
  <si>
    <t>(iii) Other financial liabilities</t>
  </si>
  <si>
    <t>Other non-current liabilities</t>
  </si>
  <si>
    <t>TOTAL LIABILITIES &amp; EQUITY</t>
  </si>
  <si>
    <t>Profit Before Share of Profit of a Joint Venture and Tax</t>
  </si>
  <si>
    <t xml:space="preserve">Share of Net Profit of a Joint Venture </t>
  </si>
  <si>
    <t>Chambal Fertilisers &amp; Chemicals Limited</t>
  </si>
  <si>
    <t>Intangible assets under development</t>
  </si>
  <si>
    <t>(ii) Loans</t>
  </si>
  <si>
    <t>(iii) Other financial assets</t>
  </si>
  <si>
    <t>Non-current tax assets (net)</t>
  </si>
  <si>
    <t xml:space="preserve">Other intangible assets </t>
  </si>
  <si>
    <t>(i) Investments</t>
  </si>
  <si>
    <t>(ii) Trade receivable</t>
  </si>
  <si>
    <t>Current tax assets (net)</t>
  </si>
  <si>
    <t>Assets classified as held for sale</t>
  </si>
  <si>
    <t>(iii) Cash and cash equivalents</t>
  </si>
  <si>
    <t>(iv) Other bank balances</t>
  </si>
  <si>
    <t xml:space="preserve">(v) Loans </t>
  </si>
  <si>
    <t>(vi) Other financial assets</t>
  </si>
  <si>
    <t>Deferred tax liabilities (net)</t>
  </si>
  <si>
    <t>Non-controlling Interest</t>
  </si>
  <si>
    <t>Foreign Currency Translation Difference</t>
  </si>
  <si>
    <t>Investment Accounted for using the equity method</t>
  </si>
  <si>
    <t>FY26</t>
  </si>
  <si>
    <t>Q1-FY27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</si>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</sst>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_ * #,##0.0_ ;_ * \-#,##0.0_ ;_ * &quot;-&quot;?_ ;_ @_ "/>
    <numFmt numFmtId="169" formatCode="_ * #,##0.0_ ;_ * \-#,##0.0_ ;_ * \-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89013336588644"/>
        <bgColor rgb="FFFFFFCC"/>
      </patternFill>
    </fill>
    <fill>
      <patternFill patternType="solid">
        <fgColor theme="9" tint="0.39988402966399123"/>
        <bgColor rgb="FF99CC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9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0" fillId="0" borderId="1" xfId="0" applyBorder="1"/>
    <xf numFmtId="0" fontId="7" fillId="0" borderId="1" xfId="0" applyFont="1" applyBorder="1"/>
    <xf numFmtId="0" fontId="0" fillId="0" borderId="1" xfId="0" applyBorder="1" applyAlignment="1">
      <alignment horizontal="left" indent="1"/>
    </xf>
    <xf numFmtId="0" fontId="1" fillId="0" borderId="1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1" fillId="2" borderId="1" xfId="0" applyFont="1" applyFill="1" applyBorder="1"/>
    <xf numFmtId="167" fontId="0" fillId="0" borderId="1" xfId="1" applyNumberFormat="1" applyFont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165" fontId="0" fillId="0" borderId="1" xfId="2" applyNumberFormat="1" applyFont="1" applyBorder="1"/>
    <xf numFmtId="167" fontId="1" fillId="0" borderId="1" xfId="1" applyNumberFormat="1" applyFont="1" applyBorder="1"/>
    <xf numFmtId="167" fontId="0" fillId="0" borderId="0" xfId="1" applyNumberFormat="1" applyFont="1"/>
    <xf numFmtId="0" fontId="9" fillId="0" borderId="0" xfId="0" applyFont="1"/>
    <xf numFmtId="167" fontId="4" fillId="0" borderId="1" xfId="1" applyNumberFormat="1" applyFont="1" applyBorder="1"/>
    <xf numFmtId="167" fontId="10" fillId="0" borderId="1" xfId="1" applyNumberFormat="1" applyFont="1" applyBorder="1"/>
    <xf numFmtId="43" fontId="0" fillId="0" borderId="1" xfId="1" applyFont="1" applyBorder="1" applyAlignment="1">
      <alignment horizontal="right"/>
    </xf>
    <xf numFmtId="168" fontId="0" fillId="0" borderId="0" xfId="0" applyNumberFormat="1"/>
    <xf numFmtId="167" fontId="0" fillId="0" borderId="1" xfId="1" applyNumberFormat="1" applyFont="1" applyBorder="1" applyAlignment="1">
      <alignment horizontal="right"/>
    </xf>
    <xf numFmtId="43" fontId="0" fillId="0" borderId="1" xfId="1" applyFont="1" applyBorder="1"/>
    <xf numFmtId="2" fontId="0" fillId="0" borderId="1" xfId="0" applyNumberFormat="1" applyBorder="1"/>
    <xf numFmtId="164" fontId="0" fillId="0" borderId="1" xfId="0" applyNumberFormat="1" applyBorder="1"/>
    <xf numFmtId="0" fontId="6" fillId="3" borderId="1" xfId="0" applyFont="1" applyFill="1" applyBorder="1"/>
    <xf numFmtId="10" fontId="6" fillId="3" borderId="1" xfId="2" applyNumberFormat="1" applyFont="1" applyFill="1" applyBorder="1"/>
    <xf numFmtId="0" fontId="6" fillId="3" borderId="1" xfId="0" applyFont="1" applyFill="1" applyBorder="1" applyAlignment="1">
      <alignment horizontal="right"/>
    </xf>
    <xf numFmtId="0" fontId="1" fillId="4" borderId="1" xfId="0" applyFont="1" applyFill="1" applyBorder="1"/>
    <xf numFmtId="167" fontId="1" fillId="4" borderId="1" xfId="1" applyNumberFormat="1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/>
    <xf numFmtId="10" fontId="1" fillId="3" borderId="1" xfId="2" applyNumberFormat="1" applyFont="1" applyFill="1" applyBorder="1"/>
    <xf numFmtId="0" fontId="3" fillId="4" borderId="1" xfId="0" applyFont="1" applyFill="1" applyBorder="1"/>
    <xf numFmtId="43" fontId="1" fillId="4" borderId="1" xfId="0" applyNumberFormat="1" applyFont="1" applyFill="1" applyBorder="1"/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3" fontId="0" fillId="0" borderId="0" xfId="0" applyNumberFormat="1"/>
    <xf numFmtId="10" fontId="0" fillId="0" borderId="0" xfId="2" applyNumberFormat="1" applyFont="1"/>
    <xf numFmtId="10" fontId="0" fillId="0" borderId="1" xfId="2" applyNumberFormat="1" applyFont="1" applyBorder="1"/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167" fontId="1" fillId="0" borderId="0" xfId="1" applyNumberFormat="1" applyFont="1" applyBorder="1"/>
    <xf numFmtId="167" fontId="0" fillId="0" borderId="0" xfId="1" applyNumberFormat="1" applyFont="1" applyBorder="1"/>
    <xf numFmtId="169" fontId="11" fillId="0" borderId="1" xfId="0" applyNumberFormat="1" applyFont="1" applyBorder="1"/>
    <xf numFmtId="2" fontId="12" fillId="6" borderId="1" xfId="0" applyNumberFormat="1" applyFont="1" applyFill="1" applyBorder="1" applyAlignment="1">
      <alignment horizontal="right"/>
    </xf>
    <xf numFmtId="10" fontId="12" fillId="6" borderId="1" xfId="0" applyNumberFormat="1" applyFont="1" applyFill="1" applyBorder="1" applyAlignment="1">
      <alignment horizontal="right"/>
    </xf>
    <xf numFmtId="169" fontId="11" fillId="7" borderId="1" xfId="0" applyNumberFormat="1" applyFont="1" applyFill="1" applyBorder="1"/>
    <xf numFmtId="169" fontId="0" fillId="0" borderId="1" xfId="0" applyNumberFormat="1" applyBorder="1"/>
    <xf numFmtId="10" fontId="12" fillId="6" borderId="1" xfId="0" applyNumberFormat="1" applyFont="1" applyFill="1" applyBorder="1"/>
    <xf numFmtId="10" fontId="11" fillId="6" borderId="1" xfId="0" applyNumberFormat="1" applyFont="1" applyFill="1" applyBorder="1"/>
    <xf numFmtId="167" fontId="1" fillId="0" borderId="0" xfId="1" applyNumberFormat="1" applyFont="1" applyFill="1" applyBorder="1"/>
    <xf numFmtId="167" fontId="0" fillId="0" borderId="0" xfId="0" applyNumberFormat="1"/>
    <xf numFmtId="43" fontId="1" fillId="0" borderId="0" xfId="0" applyNumberFormat="1" applyFont="1"/>
    <xf numFmtId="0" fontId="1" fillId="5" borderId="5" xfId="0" applyFont="1" applyFill="1" applyBorder="1" applyAlignment="1">
      <alignment horizontal="center"/>
    </xf>
    <xf numFmtId="43" fontId="0" fillId="0" borderId="1" xfId="0" applyNumberFormat="1" applyBorder="1"/>
    <xf numFmtId="0" fontId="0" fillId="0" borderId="1" xfId="0" applyBorder="1" applyAlignment="1">
      <alignment horizontal="right"/>
    </xf>
    <xf numFmtId="43" fontId="0" fillId="0" borderId="1" xfId="0" applyNumberFormat="1" applyBorder="1" applyAlignment="1">
      <alignment horizontal="right"/>
    </xf>
    <xf numFmtId="167" fontId="4" fillId="0" borderId="1" xfId="1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84"/>
  <sheetViews>
    <sheetView tabSelected="1" zoomScaleNormal="90" workbookViewId="0">
      <selection activeCell="C10" sqref="C10"/>
    </sheetView>
  </sheetViews>
  <sheetFormatPr defaultColWidth="8.77734375" defaultRowHeight="14.4" x14ac:dyDescent="0.3"/>
  <cols>
    <col min="2" max="2" width="59.33203125" customWidth="1"/>
    <col min="3" max="5" width="15.33203125" bestFit="1" customWidth="1"/>
    <col min="6" max="6" width="16.33203125" bestFit="1" customWidth="1"/>
    <col min="7" max="8" width="16.33203125" customWidth="1"/>
    <col min="10" max="10" width="46" customWidth="1"/>
    <col min="11" max="11" width="13.44140625" customWidth="1"/>
    <col min="12" max="12" width="13.77734375" customWidth="1"/>
    <col min="13" max="14" width="13.109375" bestFit="1" customWidth="1"/>
    <col min="15" max="15" width="14.6640625" customWidth="1"/>
  </cols>
  <sheetData>
    <row r="2" spans="2:15" x14ac:dyDescent="0.3">
      <c r="B2" s="94" t="s">
        <v>156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x14ac:dyDescent="0.3">
      <c r="B3" s="93" t="s">
        <v>15</v>
      </c>
      <c r="C3" s="93"/>
      <c r="D3" s="93"/>
      <c r="E3" s="93"/>
      <c r="F3" s="93"/>
      <c r="G3" s="93"/>
      <c r="H3" s="74"/>
      <c r="J3" s="93" t="s">
        <v>21</v>
      </c>
      <c r="K3" s="93"/>
      <c r="L3" s="93"/>
      <c r="M3" s="93"/>
      <c r="N3" s="93"/>
      <c r="O3" s="93"/>
    </row>
    <row r="4" spans="2:15" x14ac:dyDescent="0.3">
      <c r="B4" s="63" t="s">
        <v>142</v>
      </c>
      <c r="C4" s="64" t="s">
        <v>65</v>
      </c>
      <c r="D4" s="64" t="s">
        <v>115</v>
      </c>
      <c r="E4" s="64" t="s">
        <v>117</v>
      </c>
      <c r="F4" s="64" t="s">
        <v>118</v>
      </c>
      <c r="G4" s="64" t="s">
        <v>174</v>
      </c>
      <c r="H4" s="75" t="s">
        <v>175</v>
      </c>
      <c r="J4" s="63" t="s">
        <v>142</v>
      </c>
      <c r="K4" s="64" t="s">
        <v>65</v>
      </c>
      <c r="L4" s="64" t="s">
        <v>115</v>
      </c>
      <c r="M4" s="64" t="s">
        <v>117</v>
      </c>
      <c r="N4" s="64" t="s">
        <v>118</v>
      </c>
      <c r="O4" s="64" t="s">
        <v>174</v>
      </c>
    </row>
    <row r="5" spans="2:15" x14ac:dyDescent="0.3">
      <c r="B5" s="37" t="s">
        <v>0</v>
      </c>
      <c r="C5" s="47">
        <v>160688.29999999999</v>
      </c>
      <c r="D5" s="47">
        <v>277728.09999999998</v>
      </c>
      <c r="E5" s="47">
        <v>179664.1</v>
      </c>
      <c r="F5" s="47">
        <v>166462</v>
      </c>
      <c r="G5" s="47">
        <v>207936.6</v>
      </c>
      <c r="H5" s="78">
        <v>50270.2</v>
      </c>
      <c r="J5" s="36" t="s">
        <v>137</v>
      </c>
      <c r="K5" s="43">
        <v>4162.1000000000004</v>
      </c>
      <c r="L5" s="43">
        <v>4162.1000000000004</v>
      </c>
      <c r="M5" s="43">
        <v>4006.5</v>
      </c>
      <c r="N5" s="43">
        <v>4006.5</v>
      </c>
      <c r="O5" s="43">
        <v>4006.5</v>
      </c>
    </row>
    <row r="6" spans="2:15" x14ac:dyDescent="0.3">
      <c r="B6" s="58" t="s">
        <v>1</v>
      </c>
      <c r="C6" s="59"/>
      <c r="D6" s="59">
        <f>(D5/C5-1)</f>
        <v>0.72836541303878377</v>
      </c>
      <c r="E6" s="59">
        <f t="shared" ref="E6:F6" si="0">(E5/D5-1)</f>
        <v>-0.35309354724999009</v>
      </c>
      <c r="F6" s="59">
        <f t="shared" si="0"/>
        <v>-7.3482125811444865E-2</v>
      </c>
      <c r="G6" s="59">
        <f>(G5/F5-1)</f>
        <v>0.24915356057238291</v>
      </c>
      <c r="H6" s="79" t="s">
        <v>147</v>
      </c>
      <c r="J6" s="36" t="s">
        <v>148</v>
      </c>
      <c r="K6" s="43">
        <v>59833.7</v>
      </c>
      <c r="L6" s="43">
        <v>66519</v>
      </c>
      <c r="M6" s="43">
        <v>68729</v>
      </c>
      <c r="N6" s="43">
        <v>83273.7</v>
      </c>
      <c r="O6" s="44">
        <v>100073</v>
      </c>
    </row>
    <row r="7" spans="2:15" x14ac:dyDescent="0.3">
      <c r="B7" s="58" t="s">
        <v>2</v>
      </c>
      <c r="C7" s="60" t="s">
        <v>147</v>
      </c>
      <c r="D7" s="60" t="s">
        <v>147</v>
      </c>
      <c r="E7" s="60" t="s">
        <v>147</v>
      </c>
      <c r="F7" s="59">
        <f t="shared" ref="F7" si="1">((F5/C5)^(1/3)-1)</f>
        <v>1.1836365722192266E-2</v>
      </c>
      <c r="G7" s="59">
        <f>((G5/D5)^(1/3)-1)</f>
        <v>-9.1962665552795309E-2</v>
      </c>
      <c r="H7" s="80" t="s">
        <v>147</v>
      </c>
      <c r="J7" s="36" t="s">
        <v>171</v>
      </c>
      <c r="K7" s="43">
        <v>-134.9</v>
      </c>
      <c r="L7" s="43">
        <v>-151.9</v>
      </c>
      <c r="M7" s="43">
        <v>-154.9</v>
      </c>
      <c r="N7" s="43">
        <v>-160.30000000000001</v>
      </c>
      <c r="O7" s="44">
        <v>-180.6</v>
      </c>
    </row>
    <row r="8" spans="2:15" x14ac:dyDescent="0.3">
      <c r="B8" s="61" t="s">
        <v>3</v>
      </c>
      <c r="C8" s="62">
        <f t="shared" ref="C8:E8" si="2">SUM(C9:C13)</f>
        <v>138066.4</v>
      </c>
      <c r="D8" s="62">
        <f t="shared" si="2"/>
        <v>259534.59999999998</v>
      </c>
      <c r="E8" s="62">
        <f t="shared" si="2"/>
        <v>159231.20000000001</v>
      </c>
      <c r="F8" s="62">
        <f>SUM(F9:F13)</f>
        <v>141627.29999999999</v>
      </c>
      <c r="G8" s="62">
        <f>SUM(G9:G13)</f>
        <v>181151.7</v>
      </c>
      <c r="H8" s="81">
        <f>SUM(H9:H13)</f>
        <v>41763.1</v>
      </c>
      <c r="J8" s="69" t="s">
        <v>16</v>
      </c>
      <c r="K8" s="62">
        <f>K6+K5+K7</f>
        <v>63860.899999999994</v>
      </c>
      <c r="L8" s="62">
        <f>L6+L5+L7</f>
        <v>70529.200000000012</v>
      </c>
      <c r="M8" s="62">
        <f>M6+M5+M7</f>
        <v>72580.600000000006</v>
      </c>
      <c r="N8" s="62">
        <f>N6+N5+N7</f>
        <v>87119.9</v>
      </c>
      <c r="O8" s="62">
        <f>O6+O5+O7</f>
        <v>103898.9</v>
      </c>
    </row>
    <row r="9" spans="2:15" x14ac:dyDescent="0.3">
      <c r="B9" s="34" t="s">
        <v>145</v>
      </c>
      <c r="C9" s="43">
        <v>53685.3</v>
      </c>
      <c r="D9" s="43">
        <v>85225.600000000006</v>
      </c>
      <c r="E9" s="43">
        <v>65819.5</v>
      </c>
      <c r="F9" s="43">
        <v>64346.5</v>
      </c>
      <c r="G9" s="43">
        <v>59586.5</v>
      </c>
      <c r="H9" s="82">
        <v>14823.9</v>
      </c>
      <c r="J9" s="36" t="s">
        <v>17</v>
      </c>
      <c r="K9" s="44">
        <v>24712.400000000001</v>
      </c>
      <c r="L9" s="44">
        <v>18204.099999999999</v>
      </c>
      <c r="M9" s="43">
        <v>11442.2</v>
      </c>
      <c r="N9" s="43">
        <v>823.3</v>
      </c>
      <c r="O9" s="43">
        <v>913.4</v>
      </c>
    </row>
    <row r="10" spans="2:15" x14ac:dyDescent="0.3">
      <c r="B10" s="34" t="s">
        <v>144</v>
      </c>
      <c r="C10" s="43">
        <v>65617.7</v>
      </c>
      <c r="D10" s="43">
        <v>93956</v>
      </c>
      <c r="E10" s="43">
        <v>41749</v>
      </c>
      <c r="F10" s="43">
        <v>34262.800000000003</v>
      </c>
      <c r="G10" s="43">
        <v>77848.5</v>
      </c>
      <c r="H10" s="82">
        <v>24407.1</v>
      </c>
      <c r="J10" s="36" t="s">
        <v>18</v>
      </c>
      <c r="K10" s="43">
        <v>18518.5</v>
      </c>
      <c r="L10" s="43">
        <v>15148.6</v>
      </c>
      <c r="M10" s="43">
        <v>7093.3</v>
      </c>
      <c r="N10" s="43">
        <v>0</v>
      </c>
      <c r="O10" s="43">
        <v>9630.7000000000007</v>
      </c>
    </row>
    <row r="11" spans="2:15" x14ac:dyDescent="0.3">
      <c r="B11" s="34" t="s">
        <v>143</v>
      </c>
      <c r="C11" s="43">
        <v>-23269.9</v>
      </c>
      <c r="D11" s="43">
        <v>17861.3</v>
      </c>
      <c r="E11" s="43">
        <v>1454.1</v>
      </c>
      <c r="F11" s="43">
        <v>-5448.3</v>
      </c>
      <c r="G11" s="43">
        <v>-4502.8999999999996</v>
      </c>
      <c r="H11" s="82">
        <v>-9444.2999999999993</v>
      </c>
      <c r="J11" s="69" t="s">
        <v>19</v>
      </c>
      <c r="K11" s="62">
        <f t="shared" ref="K11:N11" si="3">K10+K9</f>
        <v>43230.9</v>
      </c>
      <c r="L11" s="62">
        <f t="shared" si="3"/>
        <v>33352.699999999997</v>
      </c>
      <c r="M11" s="62">
        <f t="shared" si="3"/>
        <v>18535.5</v>
      </c>
      <c r="N11" s="62">
        <f t="shared" si="3"/>
        <v>823.3</v>
      </c>
      <c r="O11" s="62">
        <f>O10+O9</f>
        <v>10544.1</v>
      </c>
    </row>
    <row r="12" spans="2:15" x14ac:dyDescent="0.3">
      <c r="B12" s="34" t="s">
        <v>146</v>
      </c>
      <c r="C12" s="43">
        <v>1806.7</v>
      </c>
      <c r="D12" s="43">
        <v>1910</v>
      </c>
      <c r="E12" s="43">
        <v>2207.6999999999998</v>
      </c>
      <c r="F12" s="43">
        <v>2332.4</v>
      </c>
      <c r="G12" s="43">
        <v>2873</v>
      </c>
      <c r="H12" s="82">
        <v>701.8</v>
      </c>
      <c r="J12" s="69" t="s">
        <v>20</v>
      </c>
      <c r="K12" s="62">
        <f>K8+K53</f>
        <v>94872</v>
      </c>
      <c r="L12" s="62">
        <f>L8+L53</f>
        <v>96179.300000000017</v>
      </c>
      <c r="M12" s="62">
        <f>M8+M53</f>
        <v>94723.8</v>
      </c>
      <c r="N12" s="62">
        <f>N8+N53</f>
        <v>102325.79999999999</v>
      </c>
      <c r="O12" s="62">
        <f>O8+O53</f>
        <v>118471.4</v>
      </c>
    </row>
    <row r="13" spans="2:15" x14ac:dyDescent="0.3">
      <c r="B13" s="34" t="s">
        <v>136</v>
      </c>
      <c r="C13" s="43">
        <v>40226.6</v>
      </c>
      <c r="D13" s="43">
        <v>60581.7</v>
      </c>
      <c r="E13" s="43">
        <v>48000.9</v>
      </c>
      <c r="F13" s="43">
        <v>46133.9</v>
      </c>
      <c r="G13" s="43">
        <v>45346.6</v>
      </c>
      <c r="H13" s="82">
        <v>11274.6</v>
      </c>
      <c r="J13" s="69" t="s">
        <v>20</v>
      </c>
      <c r="K13" s="62">
        <f>K61-K42</f>
        <v>94871.999999999971</v>
      </c>
      <c r="L13" s="62">
        <f>L61-L42</f>
        <v>96179.300000000017</v>
      </c>
      <c r="M13" s="62">
        <f>M61-M42</f>
        <v>94723.799999999988</v>
      </c>
      <c r="N13" s="62">
        <f>N61-N42</f>
        <v>102325.8</v>
      </c>
      <c r="O13" s="62">
        <f>O61-O42</f>
        <v>118471.39999999997</v>
      </c>
    </row>
    <row r="14" spans="2:15" x14ac:dyDescent="0.3">
      <c r="B14" s="61" t="s">
        <v>4</v>
      </c>
      <c r="C14" s="62">
        <f t="shared" ref="C14:E14" si="4">C5-C8</f>
        <v>22621.899999999994</v>
      </c>
      <c r="D14" s="62">
        <f t="shared" si="4"/>
        <v>18193.5</v>
      </c>
      <c r="E14" s="62">
        <f t="shared" si="4"/>
        <v>20432.899999999994</v>
      </c>
      <c r="F14" s="62">
        <f>F5-F8</f>
        <v>24834.700000000012</v>
      </c>
      <c r="G14" s="62">
        <f>G5-G8</f>
        <v>26784.899999999994</v>
      </c>
      <c r="H14" s="81">
        <f>H5-H8</f>
        <v>8507.0999999999985</v>
      </c>
      <c r="K14" s="48"/>
      <c r="L14" s="48"/>
      <c r="M14" s="48"/>
      <c r="N14" s="48"/>
      <c r="O14" s="48"/>
    </row>
    <row r="15" spans="2:15" x14ac:dyDescent="0.3">
      <c r="B15" s="58" t="s">
        <v>1</v>
      </c>
      <c r="C15" s="59"/>
      <c r="D15" s="59">
        <f t="shared" ref="D15:E15" si="5">D14/C14-1</f>
        <v>-0.19575720872252089</v>
      </c>
      <c r="E15" s="59">
        <f t="shared" si="5"/>
        <v>0.12308791601396063</v>
      </c>
      <c r="F15" s="59">
        <f>F14/E14-1</f>
        <v>0.21542708083532047</v>
      </c>
      <c r="G15" s="59">
        <f>G14/F14-1</f>
        <v>7.8527221991809171E-2</v>
      </c>
      <c r="H15" s="79" t="s">
        <v>147</v>
      </c>
      <c r="J15" s="69" t="s">
        <v>22</v>
      </c>
      <c r="K15" s="62">
        <f>SUM(K16:K27)</f>
        <v>72136.39999999998</v>
      </c>
      <c r="L15" s="62">
        <f>SUM(L16:L27)</f>
        <v>71313.3</v>
      </c>
      <c r="M15" s="62">
        <f>SUM(M16:M27)</f>
        <v>74198.399999999994</v>
      </c>
      <c r="N15" s="62">
        <f>SUM(N16:N27)</f>
        <v>77846.5</v>
      </c>
      <c r="O15" s="62">
        <f>SUM(O16:O27)</f>
        <v>84402.999999999985</v>
      </c>
    </row>
    <row r="16" spans="2:15" x14ac:dyDescent="0.3">
      <c r="B16" s="58" t="s">
        <v>2</v>
      </c>
      <c r="C16" s="60" t="s">
        <v>147</v>
      </c>
      <c r="D16" s="60" t="s">
        <v>147</v>
      </c>
      <c r="E16" s="60" t="s">
        <v>147</v>
      </c>
      <c r="F16" s="59">
        <f>((F14/C14)^(1/3)-1)</f>
        <v>3.1596705783647261E-2</v>
      </c>
      <c r="G16" s="59">
        <f>((G14/D14)^(1/3)-1)</f>
        <v>0.13760438669175357</v>
      </c>
      <c r="H16" s="79" t="s">
        <v>147</v>
      </c>
      <c r="J16" s="36" t="s">
        <v>23</v>
      </c>
      <c r="K16" s="43">
        <v>63432.6</v>
      </c>
      <c r="L16" s="43">
        <v>62394.1</v>
      </c>
      <c r="M16" s="43">
        <v>64008.800000000003</v>
      </c>
      <c r="N16" s="43">
        <v>62035.6</v>
      </c>
      <c r="O16" s="43">
        <v>60909.5</v>
      </c>
    </row>
    <row r="17" spans="2:15" x14ac:dyDescent="0.3">
      <c r="B17" s="65" t="s">
        <v>5</v>
      </c>
      <c r="C17" s="66">
        <f>C14/C5</f>
        <v>0.14078125165304503</v>
      </c>
      <c r="D17" s="66">
        <f t="shared" ref="D17:E17" si="6">D14/D5</f>
        <v>6.5508315507145309E-2</v>
      </c>
      <c r="E17" s="66">
        <f t="shared" si="6"/>
        <v>0.11372834083158513</v>
      </c>
      <c r="F17" s="66">
        <f>F14/F5</f>
        <v>0.14919140704785483</v>
      </c>
      <c r="G17" s="66">
        <f>G14/G5</f>
        <v>0.12881282083096479</v>
      </c>
      <c r="H17" s="84">
        <f>H14/H5</f>
        <v>0.16922749461907849</v>
      </c>
      <c r="I17" s="49"/>
      <c r="J17" s="36" t="s">
        <v>150</v>
      </c>
      <c r="K17" s="43">
        <v>1565.6</v>
      </c>
      <c r="L17" s="43">
        <v>1016.3</v>
      </c>
      <c r="M17" s="43">
        <v>1835.4</v>
      </c>
      <c r="N17" s="43">
        <v>6493.5</v>
      </c>
      <c r="O17" s="43">
        <v>13886.9</v>
      </c>
    </row>
    <row r="18" spans="2:15" x14ac:dyDescent="0.3">
      <c r="B18" s="34" t="s">
        <v>119</v>
      </c>
      <c r="C18" s="43">
        <v>680</v>
      </c>
      <c r="D18" s="43">
        <v>1677.6</v>
      </c>
      <c r="E18" s="43">
        <v>2491</v>
      </c>
      <c r="F18" s="43">
        <v>2151.1</v>
      </c>
      <c r="G18" s="43">
        <v>1268.5</v>
      </c>
      <c r="H18" s="82">
        <v>269.39999999999998</v>
      </c>
      <c r="J18" s="36" t="s">
        <v>124</v>
      </c>
      <c r="K18" s="43">
        <v>124.7</v>
      </c>
      <c r="L18" s="43">
        <v>216</v>
      </c>
      <c r="M18" s="43">
        <v>186.1</v>
      </c>
      <c r="N18" s="43">
        <v>145.1</v>
      </c>
      <c r="O18" s="44">
        <v>110.7</v>
      </c>
    </row>
    <row r="19" spans="2:15" x14ac:dyDescent="0.3">
      <c r="B19" s="34" t="s">
        <v>120</v>
      </c>
      <c r="C19" s="43">
        <v>2997.4</v>
      </c>
      <c r="D19" s="43">
        <v>3082.9</v>
      </c>
      <c r="E19" s="43">
        <v>3127.9</v>
      </c>
      <c r="F19" s="43">
        <v>3301.5</v>
      </c>
      <c r="G19" s="43">
        <v>3489.7</v>
      </c>
      <c r="H19" s="82">
        <v>890.6</v>
      </c>
      <c r="J19" s="36" t="s">
        <v>161</v>
      </c>
      <c r="K19" s="43">
        <v>19.399999999999999</v>
      </c>
      <c r="L19" s="43">
        <v>13.8</v>
      </c>
      <c r="M19" s="43">
        <v>31.5</v>
      </c>
      <c r="N19" s="43">
        <v>31.2</v>
      </c>
      <c r="O19" s="43">
        <v>75.2</v>
      </c>
    </row>
    <row r="20" spans="2:15" x14ac:dyDescent="0.3">
      <c r="B20" s="34" t="s">
        <v>121</v>
      </c>
      <c r="C20" s="43">
        <v>1059.3</v>
      </c>
      <c r="D20" s="43">
        <v>3200.2</v>
      </c>
      <c r="E20" s="43">
        <v>1730.6</v>
      </c>
      <c r="F20" s="43">
        <v>484.2</v>
      </c>
      <c r="G20" s="43">
        <v>68.099999999999994</v>
      </c>
      <c r="H20" s="82">
        <v>167.7</v>
      </c>
      <c r="J20" s="36" t="s">
        <v>157</v>
      </c>
      <c r="K20" s="43">
        <v>3.4</v>
      </c>
      <c r="L20" s="43">
        <v>9.9</v>
      </c>
      <c r="M20" s="43">
        <v>3.2</v>
      </c>
      <c r="N20" s="43">
        <v>3.7</v>
      </c>
      <c r="O20" s="43">
        <v>1.9</v>
      </c>
    </row>
    <row r="21" spans="2:15" x14ac:dyDescent="0.3">
      <c r="B21" s="61" t="s">
        <v>154</v>
      </c>
      <c r="C21" s="62">
        <f t="shared" ref="C21:H21" si="7">C14+C18-C19-C20</f>
        <v>19245.199999999993</v>
      </c>
      <c r="D21" s="62">
        <f t="shared" si="7"/>
        <v>13587.999999999996</v>
      </c>
      <c r="E21" s="62">
        <f t="shared" si="7"/>
        <v>18065.399999999994</v>
      </c>
      <c r="F21" s="62">
        <f t="shared" si="7"/>
        <v>23200.100000000009</v>
      </c>
      <c r="G21" s="62">
        <f t="shared" si="7"/>
        <v>24495.599999999995</v>
      </c>
      <c r="H21" s="81">
        <f t="shared" si="7"/>
        <v>7718.199999999998</v>
      </c>
      <c r="J21" s="36" t="s">
        <v>173</v>
      </c>
      <c r="K21" s="43">
        <v>5591.7</v>
      </c>
      <c r="L21" s="43">
        <v>5397.7</v>
      </c>
      <c r="M21" s="43">
        <v>4991.3</v>
      </c>
      <c r="N21" s="43">
        <v>5439.5</v>
      </c>
      <c r="O21" s="44">
        <v>5772.5</v>
      </c>
    </row>
    <row r="22" spans="2:15" x14ac:dyDescent="0.3">
      <c r="B22" s="34" t="s">
        <v>155</v>
      </c>
      <c r="C22" s="43">
        <v>3063.8</v>
      </c>
      <c r="D22" s="43">
        <v>575.29999999999995</v>
      </c>
      <c r="E22" s="43">
        <v>804.4</v>
      </c>
      <c r="F22" s="43">
        <v>1317</v>
      </c>
      <c r="G22" s="43">
        <v>1288.0999999999999</v>
      </c>
      <c r="H22" s="82">
        <v>-251</v>
      </c>
      <c r="J22" s="36" t="s">
        <v>24</v>
      </c>
      <c r="K22" s="43"/>
      <c r="L22" s="43"/>
      <c r="M22" s="43"/>
      <c r="N22" s="43"/>
      <c r="O22" s="43"/>
    </row>
    <row r="23" spans="2:15" x14ac:dyDescent="0.3">
      <c r="B23" s="61" t="s">
        <v>7</v>
      </c>
      <c r="C23" s="62">
        <f>C21+C22</f>
        <v>22308.999999999993</v>
      </c>
      <c r="D23" s="62">
        <f>D21+D22</f>
        <v>14163.299999999996</v>
      </c>
      <c r="E23" s="62">
        <f>E21+E22</f>
        <v>18869.799999999996</v>
      </c>
      <c r="F23" s="62">
        <f>F21+F22</f>
        <v>24517.100000000009</v>
      </c>
      <c r="G23" s="62">
        <f>G21+G22</f>
        <v>25783.699999999993</v>
      </c>
      <c r="H23" s="81">
        <f t="shared" ref="H23" si="8">H21+H22</f>
        <v>7467.199999999998</v>
      </c>
      <c r="J23" s="36" t="s">
        <v>162</v>
      </c>
      <c r="K23" s="44">
        <v>0.2</v>
      </c>
      <c r="L23" s="44">
        <v>0.2</v>
      </c>
      <c r="M23" s="44">
        <v>0.2</v>
      </c>
      <c r="N23" s="44">
        <v>0.2</v>
      </c>
      <c r="O23" s="44">
        <v>0.2</v>
      </c>
    </row>
    <row r="24" spans="2:15" x14ac:dyDescent="0.3">
      <c r="B24" s="34" t="s">
        <v>8</v>
      </c>
      <c r="C24" s="43">
        <v>6648.4</v>
      </c>
      <c r="D24" s="43">
        <v>3825.4</v>
      </c>
      <c r="E24" s="43">
        <v>6112.3</v>
      </c>
      <c r="F24" s="43">
        <v>8023.2</v>
      </c>
      <c r="G24" s="43">
        <v>6251</v>
      </c>
      <c r="H24" s="82">
        <v>2231.1999999999998</v>
      </c>
      <c r="J24" s="36" t="s">
        <v>158</v>
      </c>
      <c r="K24" s="43">
        <v>2.4</v>
      </c>
      <c r="L24" s="43">
        <v>1.6</v>
      </c>
      <c r="M24" s="43">
        <v>1</v>
      </c>
      <c r="N24" s="43">
        <v>0.4</v>
      </c>
      <c r="O24" s="43">
        <v>0.3</v>
      </c>
    </row>
    <row r="25" spans="2:15" x14ac:dyDescent="0.3">
      <c r="B25" s="58" t="s">
        <v>9</v>
      </c>
      <c r="C25" s="59">
        <f t="shared" ref="C25:E25" si="9">C24/C23</f>
        <v>0.29801425433681483</v>
      </c>
      <c r="D25" s="59">
        <f t="shared" si="9"/>
        <v>0.27009242196380795</v>
      </c>
      <c r="E25" s="59">
        <f t="shared" si="9"/>
        <v>0.32391970238158335</v>
      </c>
      <c r="F25" s="59">
        <f>F24/F23</f>
        <v>0.32724914447467263</v>
      </c>
      <c r="G25" s="59">
        <f>G24/G23</f>
        <v>0.24243999115720402</v>
      </c>
      <c r="H25" s="83">
        <f t="shared" ref="H25" si="10">H24/H23</f>
        <v>0.29880008570816374</v>
      </c>
      <c r="J25" s="36" t="s">
        <v>159</v>
      </c>
      <c r="K25" s="43">
        <v>33.200000000000003</v>
      </c>
      <c r="L25" s="43">
        <v>72.2</v>
      </c>
      <c r="M25" s="43">
        <v>45.3</v>
      </c>
      <c r="N25" s="43">
        <v>39.6</v>
      </c>
      <c r="O25" s="43">
        <v>608.1</v>
      </c>
    </row>
    <row r="26" spans="2:15" x14ac:dyDescent="0.3">
      <c r="B26" s="61" t="s">
        <v>10</v>
      </c>
      <c r="C26" s="62">
        <f>C23-C24</f>
        <v>15660.599999999993</v>
      </c>
      <c r="D26" s="62">
        <f t="shared" ref="D26:E26" si="11">D23-D24</f>
        <v>10337.899999999996</v>
      </c>
      <c r="E26" s="62">
        <f t="shared" si="11"/>
        <v>12757.499999999996</v>
      </c>
      <c r="F26" s="62">
        <f>F23-F24</f>
        <v>16493.900000000009</v>
      </c>
      <c r="G26" s="62">
        <f>G23-G24</f>
        <v>19532.699999999993</v>
      </c>
      <c r="H26" s="81">
        <f t="shared" ref="H26" si="12">H23-H24</f>
        <v>5235.9999999999982</v>
      </c>
      <c r="J26" s="36" t="s">
        <v>160</v>
      </c>
      <c r="K26" s="43">
        <v>1080.7</v>
      </c>
      <c r="L26" s="43">
        <v>1358.9</v>
      </c>
      <c r="M26" s="43">
        <v>1426.7</v>
      </c>
      <c r="N26" s="43">
        <v>436.9</v>
      </c>
      <c r="O26" s="44">
        <v>217.4</v>
      </c>
    </row>
    <row r="27" spans="2:15" x14ac:dyDescent="0.3">
      <c r="B27" s="65" t="s">
        <v>11</v>
      </c>
      <c r="C27" s="66">
        <f t="shared" ref="C27:E27" si="13">C26/C5</f>
        <v>9.7459491450217553E-2</v>
      </c>
      <c r="D27" s="66">
        <f>D26/D5</f>
        <v>3.7223096978663654E-2</v>
      </c>
      <c r="E27" s="66">
        <f t="shared" si="13"/>
        <v>7.1007507899463473E-2</v>
      </c>
      <c r="F27" s="66">
        <f>F26/F5</f>
        <v>9.9085076473910016E-2</v>
      </c>
      <c r="G27" s="66">
        <f>G26/G5</f>
        <v>9.3935843906267552E-2</v>
      </c>
      <c r="H27" s="84">
        <f t="shared" ref="H27" si="14">H26/H5</f>
        <v>0.10415713484330674</v>
      </c>
      <c r="J27" s="36" t="s">
        <v>125</v>
      </c>
      <c r="K27" s="43">
        <v>282.5</v>
      </c>
      <c r="L27" s="43">
        <v>832.6</v>
      </c>
      <c r="M27" s="43">
        <v>1668.9</v>
      </c>
      <c r="N27" s="43">
        <v>3220.8</v>
      </c>
      <c r="O27" s="44">
        <v>2820.3</v>
      </c>
    </row>
    <row r="28" spans="2:15" x14ac:dyDescent="0.3">
      <c r="B28" s="58" t="s">
        <v>2</v>
      </c>
      <c r="C28" s="60" t="s">
        <v>147</v>
      </c>
      <c r="D28" s="60" t="s">
        <v>147</v>
      </c>
      <c r="E28" s="60" t="s">
        <v>147</v>
      </c>
      <c r="F28" s="59">
        <f>(F26/C26)^(1/3)-1</f>
        <v>1.7431048590811793E-2</v>
      </c>
      <c r="G28" s="59">
        <f>(G26/D26)^(1/3)-1</f>
        <v>0.23626047464247502</v>
      </c>
      <c r="H28" s="80" t="s">
        <v>147</v>
      </c>
    </row>
    <row r="29" spans="2:15" x14ac:dyDescent="0.3">
      <c r="B29" s="34" t="s">
        <v>12</v>
      </c>
      <c r="C29" s="43">
        <v>-433.3</v>
      </c>
      <c r="D29" s="43">
        <v>-555.1</v>
      </c>
      <c r="E29" s="43">
        <v>1063.8</v>
      </c>
      <c r="F29" s="43">
        <v>1250.5999999999999</v>
      </c>
      <c r="G29" s="43">
        <v>1252.8</v>
      </c>
      <c r="H29" s="82">
        <v>202.5</v>
      </c>
      <c r="J29" s="69" t="s">
        <v>149</v>
      </c>
      <c r="K29" s="62">
        <f>SUM(K30:K40)</f>
        <v>60753.599999999984</v>
      </c>
      <c r="L29" s="62">
        <f>SUM(L30:L40)</f>
        <v>56387.4</v>
      </c>
      <c r="M29" s="62">
        <f>SUM(M30:M40)</f>
        <v>40891.300000000003</v>
      </c>
      <c r="N29" s="62">
        <f>SUM(N30:N40)</f>
        <v>36220.600000000006</v>
      </c>
      <c r="O29" s="62">
        <f>SUM(O30:O40)</f>
        <v>59621.399999999994</v>
      </c>
    </row>
    <row r="30" spans="2:15" x14ac:dyDescent="0.3">
      <c r="B30" s="61" t="s">
        <v>141</v>
      </c>
      <c r="C30" s="62">
        <f t="shared" ref="C30:E30" si="15">C26+C29</f>
        <v>15227.299999999994</v>
      </c>
      <c r="D30" s="62">
        <f t="shared" si="15"/>
        <v>9782.7999999999956</v>
      </c>
      <c r="E30" s="62">
        <f t="shared" si="15"/>
        <v>13821.299999999996</v>
      </c>
      <c r="F30" s="62">
        <f>F26+F29</f>
        <v>17744.500000000007</v>
      </c>
      <c r="G30" s="62">
        <f>G26+G29</f>
        <v>20785.499999999993</v>
      </c>
      <c r="H30" s="81">
        <f>H26+H29</f>
        <v>5438.4999999999982</v>
      </c>
      <c r="J30" s="36" t="s">
        <v>25</v>
      </c>
      <c r="K30" s="43">
        <v>31232.1</v>
      </c>
      <c r="L30" s="43">
        <v>13738.3</v>
      </c>
      <c r="M30" s="43">
        <v>12546.6</v>
      </c>
      <c r="N30" s="43">
        <v>18022.900000000001</v>
      </c>
      <c r="O30" s="43">
        <v>22798.2</v>
      </c>
    </row>
    <row r="31" spans="2:15" x14ac:dyDescent="0.3">
      <c r="B31" s="58" t="s">
        <v>1</v>
      </c>
      <c r="C31" s="59"/>
      <c r="D31" s="59">
        <f t="shared" ref="D31:E31" si="16">D30/C30-1</f>
        <v>-0.35754861334576715</v>
      </c>
      <c r="E31" s="59">
        <f t="shared" si="16"/>
        <v>0.41281637159095563</v>
      </c>
      <c r="F31" s="59">
        <f>F30/E30-1</f>
        <v>0.283851736088502</v>
      </c>
      <c r="G31" s="59">
        <f>G30/F30-1</f>
        <v>0.1713770464087454</v>
      </c>
      <c r="H31" s="80" t="s">
        <v>147</v>
      </c>
      <c r="J31" s="36" t="s">
        <v>24</v>
      </c>
      <c r="K31" s="43"/>
      <c r="L31" s="43"/>
      <c r="M31" s="43"/>
      <c r="N31" s="43"/>
      <c r="O31" s="43"/>
    </row>
    <row r="32" spans="2:15" x14ac:dyDescent="0.3">
      <c r="B32" s="58" t="s">
        <v>2</v>
      </c>
      <c r="C32" s="60" t="s">
        <v>147</v>
      </c>
      <c r="D32" s="60" t="s">
        <v>147</v>
      </c>
      <c r="E32" s="60" t="s">
        <v>147</v>
      </c>
      <c r="F32" s="59">
        <f>((F30/C30)^(1/3)-1)</f>
        <v>5.2317890987126248E-2</v>
      </c>
      <c r="G32" s="59">
        <f>((G30/D30)^(1/3)-1)</f>
        <v>0.28557997919067724</v>
      </c>
      <c r="H32" s="80" t="s">
        <v>147</v>
      </c>
      <c r="J32" s="36" t="s">
        <v>162</v>
      </c>
      <c r="K32" s="54" t="s">
        <v>64</v>
      </c>
      <c r="L32" s="43">
        <v>18373</v>
      </c>
      <c r="M32" s="43">
        <v>19321.900000000001</v>
      </c>
      <c r="N32" s="43">
        <v>8282.4</v>
      </c>
      <c r="O32" s="43">
        <v>5033.8999999999996</v>
      </c>
    </row>
    <row r="33" spans="2:15" x14ac:dyDescent="0.3">
      <c r="B33" s="37" t="s">
        <v>13</v>
      </c>
      <c r="C33" s="34"/>
      <c r="D33" s="34"/>
      <c r="E33" s="34"/>
      <c r="F33" s="34"/>
      <c r="G33" s="34"/>
      <c r="H33" s="34"/>
      <c r="J33" s="36" t="s">
        <v>163</v>
      </c>
      <c r="K33" s="43">
        <v>21513</v>
      </c>
      <c r="L33" s="43">
        <v>17604.8</v>
      </c>
      <c r="M33" s="43">
        <v>1915.6</v>
      </c>
      <c r="N33" s="43">
        <v>3679.2</v>
      </c>
      <c r="O33" s="43">
        <v>20752</v>
      </c>
    </row>
    <row r="34" spans="2:15" x14ac:dyDescent="0.3">
      <c r="B34" s="34" t="s">
        <v>122</v>
      </c>
      <c r="C34" s="34">
        <v>37.619999999999997</v>
      </c>
      <c r="D34" s="34">
        <v>24.85</v>
      </c>
      <c r="E34" s="34">
        <v>30.84</v>
      </c>
      <c r="F34" s="34">
        <v>41.17</v>
      </c>
      <c r="G34" s="56">
        <v>48.76</v>
      </c>
      <c r="H34" s="56">
        <v>13.07</v>
      </c>
      <c r="J34" s="36" t="s">
        <v>166</v>
      </c>
      <c r="K34" s="43">
        <v>5320.2</v>
      </c>
      <c r="L34" s="43">
        <v>369.3</v>
      </c>
      <c r="M34" s="43">
        <v>1098.5999999999999</v>
      </c>
      <c r="N34" s="43">
        <v>1077.5</v>
      </c>
      <c r="O34" s="44">
        <v>3079</v>
      </c>
    </row>
    <row r="35" spans="2:15" x14ac:dyDescent="0.3">
      <c r="B35" s="34" t="s">
        <v>123</v>
      </c>
      <c r="C35" s="34">
        <v>37.619999999999997</v>
      </c>
      <c r="D35" s="34">
        <v>24.85</v>
      </c>
      <c r="E35" s="34">
        <v>30.84</v>
      </c>
      <c r="F35" s="34">
        <v>41.17</v>
      </c>
      <c r="G35" s="34">
        <v>48.76</v>
      </c>
      <c r="H35" s="34">
        <v>13.07</v>
      </c>
      <c r="J35" s="36" t="s">
        <v>167</v>
      </c>
      <c r="K35" s="43">
        <v>221.2</v>
      </c>
      <c r="L35" s="43">
        <v>207</v>
      </c>
      <c r="M35" s="43">
        <v>230.3</v>
      </c>
      <c r="N35" s="43">
        <v>1285.7</v>
      </c>
      <c r="O35" s="44">
        <v>2494.6999999999998</v>
      </c>
    </row>
    <row r="36" spans="2:15" x14ac:dyDescent="0.3">
      <c r="B36" s="58" t="s">
        <v>1</v>
      </c>
      <c r="C36" s="59"/>
      <c r="D36" s="59">
        <f t="shared" ref="D36" si="17">D35/C35-1</f>
        <v>-0.33944710260499722</v>
      </c>
      <c r="E36" s="59">
        <f>E35/D35-1</f>
        <v>0.24104627766599585</v>
      </c>
      <c r="F36" s="59">
        <f>F35/E35-1</f>
        <v>0.33495460440985747</v>
      </c>
      <c r="G36" s="59">
        <f>G35/F35-1</f>
        <v>0.1843575418994412</v>
      </c>
      <c r="H36" s="80" t="s">
        <v>147</v>
      </c>
      <c r="J36" s="36" t="s">
        <v>168</v>
      </c>
      <c r="K36" s="43">
        <v>0.6</v>
      </c>
      <c r="L36" s="43">
        <v>0.5</v>
      </c>
      <c r="M36" s="43">
        <v>0.3</v>
      </c>
      <c r="N36" s="43">
        <v>0.2</v>
      </c>
      <c r="O36" s="43">
        <v>0.1</v>
      </c>
    </row>
    <row r="37" spans="2:15" x14ac:dyDescent="0.3">
      <c r="B37" s="58" t="s">
        <v>2</v>
      </c>
      <c r="C37" s="60" t="s">
        <v>147</v>
      </c>
      <c r="D37" s="60" t="s">
        <v>147</v>
      </c>
      <c r="E37" s="60" t="s">
        <v>147</v>
      </c>
      <c r="F37" s="59">
        <f>((F35/C35)^(1/3)-1)</f>
        <v>3.0514306140517977E-2</v>
      </c>
      <c r="G37" s="59">
        <f>((G35/D35)^(1/3)-1)</f>
        <v>0.25192727511692037</v>
      </c>
      <c r="H37" s="80" t="s">
        <v>147</v>
      </c>
      <c r="J37" s="36" t="s">
        <v>169</v>
      </c>
      <c r="K37" s="43">
        <v>334.5</v>
      </c>
      <c r="L37" s="43">
        <v>1145.5</v>
      </c>
      <c r="M37" s="43">
        <v>1127.2</v>
      </c>
      <c r="N37" s="43">
        <v>1610.1</v>
      </c>
      <c r="O37" s="44">
        <v>1664.9</v>
      </c>
    </row>
    <row r="38" spans="2:15" x14ac:dyDescent="0.3">
      <c r="J38" s="36" t="s">
        <v>164</v>
      </c>
      <c r="K38" s="43">
        <v>0.1</v>
      </c>
      <c r="L38" s="43">
        <v>0</v>
      </c>
      <c r="M38" s="43">
        <v>0</v>
      </c>
      <c r="N38" s="43">
        <v>0</v>
      </c>
      <c r="O38" s="43">
        <v>0</v>
      </c>
    </row>
    <row r="39" spans="2:15" x14ac:dyDescent="0.3">
      <c r="B39" s="70" t="s">
        <v>133</v>
      </c>
      <c r="C39" s="64" t="s">
        <v>65</v>
      </c>
      <c r="D39" s="64" t="s">
        <v>115</v>
      </c>
      <c r="E39" s="64" t="s">
        <v>117</v>
      </c>
      <c r="F39" s="64" t="s">
        <v>118</v>
      </c>
      <c r="G39" s="64" t="s">
        <v>174</v>
      </c>
      <c r="H39" s="74"/>
      <c r="J39" s="36" t="s">
        <v>26</v>
      </c>
      <c r="K39" s="43">
        <v>2128.1999999999998</v>
      </c>
      <c r="L39" s="43">
        <v>4937</v>
      </c>
      <c r="M39" s="43">
        <v>4620.5</v>
      </c>
      <c r="N39" s="43">
        <v>2257.4</v>
      </c>
      <c r="O39" s="44">
        <v>3789.7</v>
      </c>
    </row>
    <row r="40" spans="2:15" x14ac:dyDescent="0.3">
      <c r="B40" s="37" t="s">
        <v>49</v>
      </c>
      <c r="C40" s="47">
        <v>8879.1</v>
      </c>
      <c r="D40" s="47">
        <v>5320.2</v>
      </c>
      <c r="E40" s="47">
        <v>369.3</v>
      </c>
      <c r="F40" s="47">
        <v>1098.5999999999999</v>
      </c>
      <c r="G40" s="47">
        <v>1077.5</v>
      </c>
      <c r="H40" s="76"/>
      <c r="J40" s="36" t="s">
        <v>165</v>
      </c>
      <c r="K40" s="43">
        <v>3.7</v>
      </c>
      <c r="L40" s="43">
        <v>12</v>
      </c>
      <c r="M40" s="43">
        <v>30.3</v>
      </c>
      <c r="N40" s="43">
        <v>5.2</v>
      </c>
      <c r="O40" s="43">
        <v>8.9</v>
      </c>
    </row>
    <row r="41" spans="2:15" x14ac:dyDescent="0.3">
      <c r="B41" s="34" t="s">
        <v>50</v>
      </c>
      <c r="C41" s="43">
        <v>-242.3</v>
      </c>
      <c r="D41" s="43">
        <v>32392.6</v>
      </c>
      <c r="E41" s="43">
        <v>33267.5</v>
      </c>
      <c r="F41" s="43">
        <v>13939</v>
      </c>
      <c r="G41" s="43">
        <v>1377.7</v>
      </c>
      <c r="H41" s="77"/>
      <c r="K41" s="48"/>
      <c r="L41" s="48"/>
      <c r="M41" s="48"/>
      <c r="N41" s="48"/>
      <c r="O41" s="48"/>
    </row>
    <row r="42" spans="2:15" x14ac:dyDescent="0.3">
      <c r="B42" s="34" t="s">
        <v>51</v>
      </c>
      <c r="C42" s="43">
        <v>-1191.3</v>
      </c>
      <c r="D42" s="43">
        <v>-18731.599999999999</v>
      </c>
      <c r="E42" s="43">
        <v>-3824.8</v>
      </c>
      <c r="F42" s="43">
        <v>7390.7</v>
      </c>
      <c r="G42" s="43">
        <v>-4818.5</v>
      </c>
      <c r="H42" s="77"/>
      <c r="J42" s="69" t="s">
        <v>27</v>
      </c>
      <c r="K42" s="62">
        <f>SUM(K44:K50)</f>
        <v>38018.000000000007</v>
      </c>
      <c r="L42" s="62">
        <f>SUM(L44:L50)</f>
        <v>31521.399999999998</v>
      </c>
      <c r="M42" s="62">
        <f>SUM(M44:M50)</f>
        <v>20365.900000000001</v>
      </c>
      <c r="N42" s="62">
        <f>SUM(N44:N50)</f>
        <v>11741.3</v>
      </c>
      <c r="O42" s="62">
        <f>SUM(O44:O50)</f>
        <v>25553.000000000004</v>
      </c>
    </row>
    <row r="43" spans="2:15" x14ac:dyDescent="0.3">
      <c r="B43" s="34" t="s">
        <v>52</v>
      </c>
      <c r="C43" s="43">
        <v>-2127.9</v>
      </c>
      <c r="D43" s="43">
        <v>-18619.900000000001</v>
      </c>
      <c r="E43" s="43">
        <v>-28714.1</v>
      </c>
      <c r="F43" s="43">
        <v>-21352.6</v>
      </c>
      <c r="G43" s="43">
        <v>5433.1</v>
      </c>
      <c r="H43" s="77"/>
      <c r="J43" s="36" t="s">
        <v>128</v>
      </c>
      <c r="K43" s="43"/>
      <c r="L43" s="43"/>
      <c r="M43" s="43"/>
      <c r="N43" s="43"/>
      <c r="O43" s="43"/>
    </row>
    <row r="44" spans="2:15" x14ac:dyDescent="0.3">
      <c r="B44" s="42" t="s">
        <v>53</v>
      </c>
      <c r="C44" s="47">
        <f>+C43+C42+C41</f>
        <v>-3561.5</v>
      </c>
      <c r="D44" s="47">
        <f t="shared" ref="D44:F44" si="18">+D43+D42+D41</f>
        <v>-4958.9000000000015</v>
      </c>
      <c r="E44" s="47">
        <f t="shared" si="18"/>
        <v>728.60000000000218</v>
      </c>
      <c r="F44" s="47">
        <f t="shared" si="18"/>
        <v>-22.899999999997817</v>
      </c>
      <c r="G44" s="47">
        <f>+G43+G42+G41</f>
        <v>1992.3000000000004</v>
      </c>
      <c r="H44" s="76"/>
      <c r="J44" s="36" t="s">
        <v>126</v>
      </c>
      <c r="K44" s="43">
        <v>18518.5</v>
      </c>
      <c r="L44" s="43">
        <v>15148.6</v>
      </c>
      <c r="M44" s="43">
        <v>7093.3</v>
      </c>
      <c r="N44" s="43">
        <v>0</v>
      </c>
      <c r="O44" s="43">
        <v>9630.7000000000007</v>
      </c>
    </row>
    <row r="45" spans="2:15" x14ac:dyDescent="0.3">
      <c r="B45" s="38" t="s">
        <v>172</v>
      </c>
      <c r="C45" s="47">
        <v>2.6</v>
      </c>
      <c r="D45" s="47">
        <v>8</v>
      </c>
      <c r="E45" s="47">
        <v>0.7</v>
      </c>
      <c r="F45" s="47">
        <v>1.8</v>
      </c>
      <c r="G45" s="47">
        <v>9.1999999999999993</v>
      </c>
      <c r="H45" s="76"/>
      <c r="J45" s="36" t="s">
        <v>130</v>
      </c>
      <c r="K45" s="43">
        <v>52.5</v>
      </c>
      <c r="L45" s="43">
        <v>46.7</v>
      </c>
      <c r="M45" s="43">
        <v>49.6</v>
      </c>
      <c r="N45" s="43">
        <v>49.5</v>
      </c>
      <c r="O45" s="44">
        <v>53.5</v>
      </c>
    </row>
    <row r="46" spans="2:15" x14ac:dyDescent="0.3">
      <c r="B46" s="61" t="s">
        <v>54</v>
      </c>
      <c r="C46" s="62">
        <f>C40+C44+C45</f>
        <v>5320.2000000000007</v>
      </c>
      <c r="D46" s="62">
        <f>D40+D44+D45</f>
        <v>369.29999999999836</v>
      </c>
      <c r="E46" s="62">
        <f>E40+E44+E45</f>
        <v>1098.6000000000022</v>
      </c>
      <c r="F46" s="62">
        <f>F40+F44+F45</f>
        <v>1077.500000000002</v>
      </c>
      <c r="G46" s="62">
        <f>G40+G44+G45</f>
        <v>3079</v>
      </c>
      <c r="H46" s="85"/>
      <c r="J46" s="36" t="s">
        <v>138</v>
      </c>
      <c r="K46" s="43">
        <f>115.3+14883</f>
        <v>14998.3</v>
      </c>
      <c r="L46" s="43">
        <f>190.3+11925.1</f>
        <v>12115.4</v>
      </c>
      <c r="M46" s="43">
        <f>316.1+7622.2</f>
        <v>7938.3</v>
      </c>
      <c r="N46" s="43">
        <f>311.2+5991.5</f>
        <v>6302.7</v>
      </c>
      <c r="O46" s="44">
        <f>367.2+8997.4</f>
        <v>9364.6</v>
      </c>
    </row>
    <row r="47" spans="2:15" x14ac:dyDescent="0.3">
      <c r="J47" s="36" t="s">
        <v>140</v>
      </c>
      <c r="K47" s="43">
        <v>2846.8</v>
      </c>
      <c r="L47" s="43">
        <v>3301.8</v>
      </c>
      <c r="M47" s="43">
        <v>4062.7</v>
      </c>
      <c r="N47" s="43">
        <v>4131.6000000000004</v>
      </c>
      <c r="O47" s="44">
        <v>4908.3</v>
      </c>
    </row>
    <row r="48" spans="2:15" x14ac:dyDescent="0.3">
      <c r="B48" s="70" t="s">
        <v>132</v>
      </c>
      <c r="C48" s="64" t="s">
        <v>65</v>
      </c>
      <c r="D48" s="64" t="s">
        <v>115</v>
      </c>
      <c r="E48" s="64" t="s">
        <v>117</v>
      </c>
      <c r="F48" s="64" t="s">
        <v>118</v>
      </c>
      <c r="G48" s="64" t="s">
        <v>174</v>
      </c>
      <c r="H48" s="74"/>
      <c r="J48" s="36" t="s">
        <v>127</v>
      </c>
      <c r="K48" s="43">
        <v>1256.8</v>
      </c>
      <c r="L48" s="43">
        <v>544.79999999999995</v>
      </c>
      <c r="M48" s="43">
        <v>802.8</v>
      </c>
      <c r="N48" s="43">
        <v>854.5</v>
      </c>
      <c r="O48" s="44">
        <v>904.5</v>
      </c>
    </row>
    <row r="49" spans="2:17" x14ac:dyDescent="0.3">
      <c r="B49" s="35" t="s">
        <v>55</v>
      </c>
      <c r="C49" s="45">
        <f>C41</f>
        <v>-242.3</v>
      </c>
      <c r="D49" s="45">
        <f>D41</f>
        <v>32392.6</v>
      </c>
      <c r="E49" s="45">
        <f>E41</f>
        <v>33267.5</v>
      </c>
      <c r="F49" s="45">
        <f>F41</f>
        <v>13939</v>
      </c>
      <c r="G49" s="45">
        <f>G41</f>
        <v>1377.7</v>
      </c>
      <c r="H49" s="86"/>
      <c r="J49" s="36" t="s">
        <v>63</v>
      </c>
      <c r="K49" s="43">
        <v>345.1</v>
      </c>
      <c r="L49" s="43">
        <v>364.1</v>
      </c>
      <c r="M49" s="43">
        <v>419.2</v>
      </c>
      <c r="N49" s="43">
        <v>403</v>
      </c>
      <c r="O49" s="43">
        <v>484.5</v>
      </c>
    </row>
    <row r="50" spans="2:17" x14ac:dyDescent="0.3">
      <c r="B50" s="35" t="s">
        <v>56</v>
      </c>
      <c r="C50" s="34">
        <f>-1771.3+150.8</f>
        <v>-1620.5</v>
      </c>
      <c r="D50" s="34">
        <f>-1965.5+35.1</f>
        <v>-1930.4</v>
      </c>
      <c r="E50" s="34">
        <f>-6103.4+33.3</f>
        <v>-6070.0999999999995</v>
      </c>
      <c r="F50" s="34">
        <f>-5718.4+27.5</f>
        <v>-5690.9</v>
      </c>
      <c r="G50" s="38">
        <f>-4868.7+14.4</f>
        <v>-4854.3</v>
      </c>
      <c r="J50" s="36" t="s">
        <v>139</v>
      </c>
      <c r="K50" s="43">
        <v>0</v>
      </c>
      <c r="L50" s="43">
        <v>0</v>
      </c>
      <c r="M50" s="43">
        <v>0</v>
      </c>
      <c r="N50" s="43">
        <v>0</v>
      </c>
      <c r="O50" s="43">
        <v>206.9</v>
      </c>
    </row>
    <row r="51" spans="2:17" x14ac:dyDescent="0.3">
      <c r="B51" s="67" t="s">
        <v>131</v>
      </c>
      <c r="C51" s="68">
        <f t="shared" ref="C51:E51" si="19">C49+C50</f>
        <v>-1862.8</v>
      </c>
      <c r="D51" s="68">
        <f t="shared" si="19"/>
        <v>30462.199999999997</v>
      </c>
      <c r="E51" s="68">
        <f t="shared" si="19"/>
        <v>27197.4</v>
      </c>
      <c r="F51" s="68">
        <f>F49+F50</f>
        <v>8248.1</v>
      </c>
      <c r="G51" s="68">
        <f>G49+G50</f>
        <v>-3476.6000000000004</v>
      </c>
      <c r="H51" s="87"/>
      <c r="J51" s="69" t="s">
        <v>28</v>
      </c>
      <c r="K51" s="62">
        <f>K29-K42</f>
        <v>22735.599999999977</v>
      </c>
      <c r="L51" s="62">
        <f>L29-L42</f>
        <v>24866.000000000004</v>
      </c>
      <c r="M51" s="62">
        <f>M29-M42</f>
        <v>20525.400000000001</v>
      </c>
      <c r="N51" s="62">
        <f>N29-N42</f>
        <v>24479.300000000007</v>
      </c>
      <c r="O51" s="62">
        <f>O29-O42</f>
        <v>34068.399999999994</v>
      </c>
    </row>
    <row r="52" spans="2:17" x14ac:dyDescent="0.3">
      <c r="K52" s="48"/>
      <c r="L52" s="48"/>
      <c r="M52" s="48"/>
      <c r="N52" s="48"/>
      <c r="O52" s="48"/>
    </row>
    <row r="53" spans="2:17" x14ac:dyDescent="0.3">
      <c r="B53" s="70" t="s">
        <v>135</v>
      </c>
      <c r="C53" s="64" t="s">
        <v>65</v>
      </c>
      <c r="D53" s="64" t="s">
        <v>115</v>
      </c>
      <c r="E53" s="64" t="s">
        <v>117</v>
      </c>
      <c r="F53" s="64" t="s">
        <v>118</v>
      </c>
      <c r="G53" s="64" t="s">
        <v>174</v>
      </c>
      <c r="H53" s="75" t="s">
        <v>175</v>
      </c>
      <c r="J53" s="69" t="s">
        <v>114</v>
      </c>
      <c r="K53" s="62">
        <f>SUM(K55:K60)</f>
        <v>31011.100000000002</v>
      </c>
      <c r="L53" s="62">
        <f>SUM(L55:L60)</f>
        <v>25650.1</v>
      </c>
      <c r="M53" s="62">
        <f>SUM(M55:M60)</f>
        <v>22143.200000000001</v>
      </c>
      <c r="N53" s="62">
        <f>SUM(N55:N60)</f>
        <v>15205.900000000001</v>
      </c>
      <c r="O53" s="62">
        <f>SUM(O55:O60)</f>
        <v>14572.500000000002</v>
      </c>
    </row>
    <row r="54" spans="2:17" x14ac:dyDescent="0.3">
      <c r="B54" s="34" t="s">
        <v>58</v>
      </c>
      <c r="C54" s="52">
        <v>416207852</v>
      </c>
      <c r="D54" s="54">
        <v>416207852</v>
      </c>
      <c r="E54" s="51">
        <v>400652297</v>
      </c>
      <c r="F54" s="51">
        <v>400652297</v>
      </c>
      <c r="G54" s="51">
        <v>400652297</v>
      </c>
      <c r="H54" s="51">
        <v>400652297</v>
      </c>
      <c r="J54" s="36" t="s">
        <v>128</v>
      </c>
      <c r="K54" s="43"/>
      <c r="L54" s="43"/>
      <c r="M54" s="43"/>
      <c r="N54" s="43"/>
      <c r="O54" s="43"/>
    </row>
    <row r="55" spans="2:17" x14ac:dyDescent="0.3">
      <c r="B55" s="38" t="s">
        <v>116</v>
      </c>
      <c r="C55" s="50">
        <f t="shared" ref="C55:H55" si="20">(C54*K65)/1000000</f>
        <v>175639.713544</v>
      </c>
      <c r="D55" s="50">
        <f t="shared" si="20"/>
        <v>109899.6833206</v>
      </c>
      <c r="E55" s="50">
        <f t="shared" si="20"/>
        <v>137063.1508037</v>
      </c>
      <c r="F55" s="50">
        <f>(F54*N65)/1000000</f>
        <v>250648.07700320001</v>
      </c>
      <c r="G55" s="50">
        <f>(G54*O65)/1000000</f>
        <v>170818.10682595</v>
      </c>
      <c r="H55" s="50">
        <f>(H54*P65)/1000000</f>
        <v>187685.56852964999</v>
      </c>
      <c r="J55" s="36" t="s">
        <v>129</v>
      </c>
      <c r="K55" s="43">
        <v>24712.400000000001</v>
      </c>
      <c r="L55" s="43">
        <v>18204.099999999999</v>
      </c>
      <c r="M55" s="43">
        <v>11442.2</v>
      </c>
      <c r="N55" s="43">
        <v>823.3</v>
      </c>
      <c r="O55" s="44">
        <v>913.4</v>
      </c>
    </row>
    <row r="56" spans="2:17" x14ac:dyDescent="0.3">
      <c r="B56" s="34" t="s">
        <v>60</v>
      </c>
      <c r="C56" s="50">
        <f t="shared" ref="C56:E56" si="21">K11</f>
        <v>43230.9</v>
      </c>
      <c r="D56" s="50">
        <f t="shared" si="21"/>
        <v>33352.699999999997</v>
      </c>
      <c r="E56" s="50">
        <f t="shared" si="21"/>
        <v>18535.5</v>
      </c>
      <c r="F56" s="50">
        <f>N11</f>
        <v>823.3</v>
      </c>
      <c r="G56" s="50">
        <f>O11</f>
        <v>10544.1</v>
      </c>
      <c r="H56" s="92">
        <v>10544.1</v>
      </c>
      <c r="J56" s="36" t="s">
        <v>130</v>
      </c>
      <c r="K56" s="43">
        <v>85.2</v>
      </c>
      <c r="L56" s="43">
        <v>184.6</v>
      </c>
      <c r="M56" s="43">
        <v>154.19999999999999</v>
      </c>
      <c r="N56" s="43">
        <v>114.8</v>
      </c>
      <c r="O56" s="44">
        <v>77.400000000000006</v>
      </c>
    </row>
    <row r="57" spans="2:17" x14ac:dyDescent="0.3">
      <c r="B57" s="34" t="s">
        <v>61</v>
      </c>
      <c r="C57" s="50">
        <f t="shared" ref="C57:E57" si="22">SUM(K34:K35)</f>
        <v>5541.4</v>
      </c>
      <c r="D57" s="50">
        <f t="shared" si="22"/>
        <v>576.29999999999995</v>
      </c>
      <c r="E57" s="50">
        <f t="shared" si="22"/>
        <v>1328.8999999999999</v>
      </c>
      <c r="F57" s="50">
        <f>SUM(N34:N35)</f>
        <v>2363.1999999999998</v>
      </c>
      <c r="G57" s="50">
        <f>SUM(O34:O35)</f>
        <v>5573.7</v>
      </c>
      <c r="H57" s="92">
        <v>5573.7</v>
      </c>
      <c r="J57" s="36" t="s">
        <v>151</v>
      </c>
      <c r="K57" s="43">
        <v>0</v>
      </c>
      <c r="L57" s="43">
        <v>0</v>
      </c>
      <c r="M57" s="43">
        <v>0</v>
      </c>
      <c r="N57" s="43">
        <v>23.9</v>
      </c>
      <c r="O57" s="43">
        <v>142.30000000000001</v>
      </c>
    </row>
    <row r="58" spans="2:17" x14ac:dyDescent="0.3">
      <c r="B58" s="38" t="s">
        <v>62</v>
      </c>
      <c r="C58" s="50">
        <f>C55+C56-C57</f>
        <v>213329.213544</v>
      </c>
      <c r="D58" s="50">
        <f>D55+D56-D57</f>
        <v>142676.08332060001</v>
      </c>
      <c r="E58" s="50">
        <f>E55+E56-E57</f>
        <v>154269.75080370001</v>
      </c>
      <c r="F58" s="50">
        <f t="shared" ref="F58" si="23">F55+F56-F57</f>
        <v>249108.17700319999</v>
      </c>
      <c r="G58" s="50">
        <f>G55+G56-G57</f>
        <v>175788.50682595</v>
      </c>
      <c r="H58" s="50">
        <f>H55+H56-H57</f>
        <v>192655.96852964998</v>
      </c>
      <c r="J58" s="36" t="s">
        <v>63</v>
      </c>
      <c r="K58" s="43">
        <v>150</v>
      </c>
      <c r="L58" s="43">
        <v>186.4</v>
      </c>
      <c r="M58" s="43">
        <v>247.3</v>
      </c>
      <c r="N58" s="43">
        <v>84</v>
      </c>
      <c r="O58" s="43">
        <v>264.10000000000002</v>
      </c>
      <c r="Q58" s="53"/>
    </row>
    <row r="59" spans="2:17" x14ac:dyDescent="0.3">
      <c r="J59" s="36" t="s">
        <v>170</v>
      </c>
      <c r="K59" s="43">
        <v>6030.7</v>
      </c>
      <c r="L59" s="43">
        <v>7043</v>
      </c>
      <c r="M59" s="43">
        <v>10257.799999999999</v>
      </c>
      <c r="N59" s="43">
        <v>14117.7</v>
      </c>
      <c r="O59" s="43">
        <v>13130.2</v>
      </c>
    </row>
    <row r="60" spans="2:17" x14ac:dyDescent="0.3">
      <c r="J60" s="36" t="s">
        <v>152</v>
      </c>
      <c r="K60" s="43">
        <v>32.799999999999997</v>
      </c>
      <c r="L60" s="43">
        <v>32</v>
      </c>
      <c r="M60" s="43">
        <v>41.7</v>
      </c>
      <c r="N60" s="43">
        <v>42.2</v>
      </c>
      <c r="O60" s="43">
        <v>45.1</v>
      </c>
    </row>
    <row r="61" spans="2:17" x14ac:dyDescent="0.3">
      <c r="J61" s="69" t="s">
        <v>29</v>
      </c>
      <c r="K61" s="62">
        <f>K29+K15</f>
        <v>132889.99999999997</v>
      </c>
      <c r="L61" s="62">
        <f>L29+L15</f>
        <v>127700.70000000001</v>
      </c>
      <c r="M61" s="62">
        <f>M29+M15</f>
        <v>115089.7</v>
      </c>
      <c r="N61" s="62">
        <f>N29+N15</f>
        <v>114067.1</v>
      </c>
      <c r="O61" s="62">
        <f>O29+O15</f>
        <v>144024.39999999997</v>
      </c>
    </row>
    <row r="62" spans="2:17" x14ac:dyDescent="0.3">
      <c r="J62" s="69" t="s">
        <v>153</v>
      </c>
      <c r="K62" s="62">
        <f>K53+K42+K8</f>
        <v>132890</v>
      </c>
      <c r="L62" s="62">
        <f>L53+L42+L8</f>
        <v>127700.70000000001</v>
      </c>
      <c r="M62" s="62">
        <f>M53+M42+M8</f>
        <v>115089.70000000001</v>
      </c>
      <c r="N62" s="62">
        <f>N53+N42+N8</f>
        <v>114067.09999999999</v>
      </c>
      <c r="O62" s="62">
        <f>O53+O42+O8</f>
        <v>144024.4</v>
      </c>
    </row>
    <row r="64" spans="2:17" x14ac:dyDescent="0.3">
      <c r="J64" s="70" t="s">
        <v>134</v>
      </c>
      <c r="K64" s="64" t="s">
        <v>65</v>
      </c>
      <c r="L64" s="64" t="s">
        <v>115</v>
      </c>
      <c r="M64" s="64" t="s">
        <v>117</v>
      </c>
      <c r="N64" s="64" t="s">
        <v>118</v>
      </c>
      <c r="O64" s="64" t="s">
        <v>174</v>
      </c>
      <c r="P64" s="88" t="s">
        <v>175</v>
      </c>
    </row>
    <row r="65" spans="10:17" x14ac:dyDescent="0.3">
      <c r="J65" s="39" t="s">
        <v>30</v>
      </c>
      <c r="K65" s="54">
        <v>422</v>
      </c>
      <c r="L65" s="54">
        <v>264.05</v>
      </c>
      <c r="M65" s="43">
        <v>342.1</v>
      </c>
      <c r="N65" s="43">
        <v>625.6</v>
      </c>
      <c r="O65" s="43">
        <v>426.35</v>
      </c>
      <c r="P65" s="34">
        <v>468.45</v>
      </c>
    </row>
    <row r="66" spans="10:17" x14ac:dyDescent="0.3">
      <c r="J66" s="39" t="s">
        <v>31</v>
      </c>
      <c r="K66" s="43">
        <f>C35</f>
        <v>37.619999999999997</v>
      </c>
      <c r="L66" s="43">
        <f>D35</f>
        <v>24.85</v>
      </c>
      <c r="M66" s="43">
        <f>E35</f>
        <v>30.84</v>
      </c>
      <c r="N66" s="43">
        <f>F35</f>
        <v>41.17</v>
      </c>
      <c r="O66" s="44">
        <v>48.76</v>
      </c>
      <c r="P66" s="89">
        <f>O66+H35-13.7</f>
        <v>48.129999999999995</v>
      </c>
      <c r="Q66" t="s">
        <v>176</v>
      </c>
    </row>
    <row r="67" spans="10:17" x14ac:dyDescent="0.3">
      <c r="J67" s="39" t="s">
        <v>32</v>
      </c>
      <c r="K67" s="43">
        <f>K8*1000000/C54</f>
        <v>153.43511587570913</v>
      </c>
      <c r="L67" s="43">
        <f>L8*1000000/D54</f>
        <v>169.45667810226706</v>
      </c>
      <c r="M67" s="43">
        <f>M8*1000000/E54</f>
        <v>181.1560810794503</v>
      </c>
      <c r="N67" s="43">
        <f>N8*1000000/F54</f>
        <v>217.44515294766924</v>
      </c>
      <c r="O67" s="43">
        <f>O8*1000000/G54</f>
        <v>259.32435874690617</v>
      </c>
      <c r="P67" s="90" t="s">
        <v>147</v>
      </c>
    </row>
    <row r="68" spans="10:17" x14ac:dyDescent="0.3">
      <c r="J68" s="39" t="s">
        <v>33</v>
      </c>
      <c r="K68" s="57">
        <v>3</v>
      </c>
      <c r="L68" s="57">
        <v>3</v>
      </c>
      <c r="M68" s="43">
        <v>3</v>
      </c>
      <c r="N68" s="43">
        <v>5</v>
      </c>
      <c r="O68" s="44">
        <v>11</v>
      </c>
      <c r="P68" s="90" t="s">
        <v>147</v>
      </c>
    </row>
    <row r="69" spans="10:17" x14ac:dyDescent="0.3">
      <c r="J69" s="39" t="s">
        <v>34</v>
      </c>
      <c r="K69" s="43">
        <f t="shared" ref="K69:P69" si="24">K65/K66</f>
        <v>11.217437533227008</v>
      </c>
      <c r="L69" s="43">
        <f t="shared" si="24"/>
        <v>10.625754527162977</v>
      </c>
      <c r="M69" s="43">
        <f t="shared" si="24"/>
        <v>11.092736705577174</v>
      </c>
      <c r="N69" s="43">
        <f t="shared" si="24"/>
        <v>15.195530726256983</v>
      </c>
      <c r="O69" s="43">
        <f t="shared" si="24"/>
        <v>8.7438474159146846</v>
      </c>
      <c r="P69" s="43">
        <f t="shared" si="24"/>
        <v>9.7330147517141086</v>
      </c>
    </row>
    <row r="70" spans="10:17" x14ac:dyDescent="0.3">
      <c r="J70" s="39" t="s">
        <v>35</v>
      </c>
      <c r="K70" s="43">
        <f>K65/K67</f>
        <v>2.7503482341150849</v>
      </c>
      <c r="L70" s="43">
        <f>L65/L67</f>
        <v>1.5582153678277932</v>
      </c>
      <c r="M70" s="43">
        <f>M65/M67</f>
        <v>1.8884268083165474</v>
      </c>
      <c r="N70" s="43">
        <f>N65/N67</f>
        <v>2.8770473451323979</v>
      </c>
      <c r="O70" s="43">
        <f>O65/O67</f>
        <v>1.6440800318959106</v>
      </c>
      <c r="P70" s="91" t="s">
        <v>147</v>
      </c>
    </row>
    <row r="71" spans="10:17" x14ac:dyDescent="0.3">
      <c r="J71" s="39" t="s">
        <v>36</v>
      </c>
      <c r="K71" s="43">
        <f>C58/C14</f>
        <v>9.4302076105013306</v>
      </c>
      <c r="L71" s="43">
        <f>D58/D14</f>
        <v>7.8421460038255431</v>
      </c>
      <c r="M71" s="43">
        <f>E58/E14</f>
        <v>7.5500663539536754</v>
      </c>
      <c r="N71" s="43">
        <f>F58/F14</f>
        <v>10.030649736183641</v>
      </c>
      <c r="O71" s="43">
        <f>G58/G14</f>
        <v>6.5629704358033827</v>
      </c>
      <c r="P71" s="91" t="s">
        <v>147</v>
      </c>
    </row>
    <row r="72" spans="10:17" x14ac:dyDescent="0.3">
      <c r="J72" s="40" t="s">
        <v>37</v>
      </c>
      <c r="K72" s="46">
        <f>C26/AVERAGE(K8:K8)</f>
        <v>0.24522986678859826</v>
      </c>
      <c r="L72" s="46">
        <f>D26/AVERAGE(K8:L8)</f>
        <v>0.15384913025587443</v>
      </c>
      <c r="M72" s="46">
        <f>E26/AVERAGE(L8:M8)</f>
        <v>0.17828967687747443</v>
      </c>
      <c r="N72" s="46">
        <f>F26/AVERAGE(M8:N8)</f>
        <v>0.20656040525859354</v>
      </c>
      <c r="O72" s="73">
        <f>G26/AVERAGE(N8:O8)</f>
        <v>0.20451076019742553</v>
      </c>
      <c r="P72" s="91" t="s">
        <v>147</v>
      </c>
    </row>
    <row r="73" spans="10:17" x14ac:dyDescent="0.3">
      <c r="J73" s="40" t="s">
        <v>38</v>
      </c>
      <c r="K73" s="46">
        <f>(C23+C20)/AVERAGE(K13:K13)</f>
        <v>0.2463139809427439</v>
      </c>
      <c r="L73" s="46">
        <f>(D23+D20)/AVERAGE(K13:L13)</f>
        <v>0.18176793353408219</v>
      </c>
      <c r="M73" s="46">
        <f>(E23+E20)/AVERAGE(L13:M13)</f>
        <v>0.21582048693813766</v>
      </c>
      <c r="N73" s="46">
        <f>(F23+F20)/AVERAGE(M13:N13)</f>
        <v>0.25375641462860127</v>
      </c>
      <c r="O73" s="73">
        <f>(G23+G20)/AVERAGE(N13:O13)</f>
        <v>0.23416782459197849</v>
      </c>
      <c r="P73" s="91" t="s">
        <v>147</v>
      </c>
    </row>
    <row r="74" spans="10:17" x14ac:dyDescent="0.3">
      <c r="J74" s="39" t="s">
        <v>39</v>
      </c>
      <c r="K74" s="55">
        <f>K11/K8</f>
        <v>0.67695412999190441</v>
      </c>
      <c r="L74" s="55">
        <f>L11/L8</f>
        <v>0.47289207874185429</v>
      </c>
      <c r="M74" s="55">
        <f>M11/M8</f>
        <v>0.25537815890196552</v>
      </c>
      <c r="N74" s="55">
        <f>N11/N8</f>
        <v>9.4501945020598055E-3</v>
      </c>
      <c r="O74" s="55">
        <f>O11/O8</f>
        <v>0.10148423130562499</v>
      </c>
      <c r="P74" s="91" t="s">
        <v>147</v>
      </c>
    </row>
    <row r="75" spans="10:17" x14ac:dyDescent="0.3">
      <c r="J75" s="39" t="s">
        <v>40</v>
      </c>
      <c r="K75" s="55">
        <f>(K11-C57)/K8</f>
        <v>0.59018115936355431</v>
      </c>
      <c r="L75" s="55">
        <f>(L11-D57)/L8</f>
        <v>0.46472099499214492</v>
      </c>
      <c r="M75" s="55">
        <f>(M11-E57)/M8</f>
        <v>0.2370688586206231</v>
      </c>
      <c r="N75" s="55">
        <f>(N11-F57)/N8</f>
        <v>-1.7675640123553861E-2</v>
      </c>
      <c r="O75" s="55">
        <f>(O11-G57)/O8</f>
        <v>4.7838812537957583E-2</v>
      </c>
      <c r="P75" s="91" t="s">
        <v>147</v>
      </c>
    </row>
    <row r="76" spans="10:17" x14ac:dyDescent="0.3">
      <c r="J76" s="39" t="s">
        <v>41</v>
      </c>
      <c r="K76" s="46">
        <f>K68/K65</f>
        <v>7.1090047393364926E-3</v>
      </c>
      <c r="L76" s="46">
        <f>L68/L65</f>
        <v>1.1361484567316796E-2</v>
      </c>
      <c r="M76" s="46">
        <f>M68/M65</f>
        <v>8.7693656825489612E-3</v>
      </c>
      <c r="N76" s="46">
        <f t="shared" ref="N76" si="25">N68/N65</f>
        <v>7.9923273657289007E-3</v>
      </c>
      <c r="O76" s="46">
        <f>O68/O65</f>
        <v>2.5800398733434971E-2</v>
      </c>
      <c r="P76" s="91" t="s">
        <v>147</v>
      </c>
    </row>
    <row r="77" spans="10:17" x14ac:dyDescent="0.3">
      <c r="J77" s="39" t="s">
        <v>42</v>
      </c>
      <c r="K77" s="43">
        <f>AVERAGE(K33:K33)/C5*365</f>
        <v>48.866314473424637</v>
      </c>
      <c r="L77" s="43">
        <f>AVERAGE(K33:L33)/D5*365</f>
        <v>25.704991680712187</v>
      </c>
      <c r="M77" s="43">
        <f>AVERAGE(L33:M33)/E5*365</f>
        <v>19.82851888607685</v>
      </c>
      <c r="N77" s="43">
        <f>AVERAGE(M33:N33)/F5*365</f>
        <v>6.1338383534980947</v>
      </c>
      <c r="O77" s="43">
        <f>AVERAGE(N33:O33)/G5*365</f>
        <v>21.442564704818679</v>
      </c>
      <c r="P77" s="91" t="s">
        <v>147</v>
      </c>
    </row>
    <row r="78" spans="10:17" x14ac:dyDescent="0.3">
      <c r="J78" s="39" t="s">
        <v>43</v>
      </c>
      <c r="K78" s="43">
        <f>(AVERAGE(K46:K46)/SUM(C9:C11)*365)</f>
        <v>57.005131564012821</v>
      </c>
      <c r="L78" s="43">
        <f>(AVERAGE(K46:L46)/SUM(D9:D11)*365)</f>
        <v>25.112552900916498</v>
      </c>
      <c r="M78" s="43">
        <f>(AVERAGE(L46:M46)/SUM(E9:E11)*365)</f>
        <v>33.569188865427904</v>
      </c>
      <c r="N78" s="43">
        <f>(AVERAGE(M46:N46)/SUM(F9:F11)*365)</f>
        <v>27.897752278313888</v>
      </c>
      <c r="O78" s="43">
        <f>(AVERAGE(N46:O46)/SUM(G9:G11)*365)</f>
        <v>21.509343868034883</v>
      </c>
      <c r="P78" s="91" t="s">
        <v>147</v>
      </c>
    </row>
    <row r="79" spans="10:17" x14ac:dyDescent="0.3">
      <c r="J79" s="39" t="s">
        <v>44</v>
      </c>
      <c r="K79" s="43">
        <f>AVERAGE(K30:K30)/SUM(C9:C11)*365</f>
        <v>118.70611799473305</v>
      </c>
      <c r="L79" s="43">
        <f>AVERAGE(K30:L30)/SUM(D9:D11)*365</f>
        <v>41.651325675779233</v>
      </c>
      <c r="M79" s="43">
        <f>AVERAGE(L30:M30)/SUM(E9:E11)*365</f>
        <v>43.999998624138485</v>
      </c>
      <c r="N79" s="43">
        <f>AVERAGE(M30:N30)/SUM(F9:F11)*365</f>
        <v>59.884863301166803</v>
      </c>
      <c r="O79" s="43">
        <f>AVERAGE(N30:O30)/SUM(G9:G11)*365</f>
        <v>56.042526598165537</v>
      </c>
      <c r="P79" s="91" t="s">
        <v>147</v>
      </c>
    </row>
    <row r="80" spans="10:17" x14ac:dyDescent="0.3">
      <c r="J80" s="39" t="s">
        <v>45</v>
      </c>
      <c r="K80" s="43">
        <f t="shared" ref="K80:N80" si="26">K77+K79-K78</f>
        <v>110.56730090414484</v>
      </c>
      <c r="L80" s="43">
        <f t="shared" si="26"/>
        <v>42.243764455574919</v>
      </c>
      <c r="M80" s="43">
        <f t="shared" si="26"/>
        <v>30.259328644787431</v>
      </c>
      <c r="N80" s="43">
        <f t="shared" si="26"/>
        <v>38.120949376351007</v>
      </c>
      <c r="O80" s="43">
        <f>O77+O79-O78</f>
        <v>55.975747434949334</v>
      </c>
      <c r="P80" s="91" t="s">
        <v>147</v>
      </c>
    </row>
    <row r="81" spans="10:16" x14ac:dyDescent="0.3">
      <c r="J81" s="39" t="s">
        <v>46</v>
      </c>
      <c r="K81" s="43">
        <f>AVERAGE(K51:K51/C5*365)</f>
        <v>51.643423945613911</v>
      </c>
      <c r="L81" s="43">
        <f>AVERAGE(K51:L51/D5*365)</f>
        <v>32.67976844978957</v>
      </c>
      <c r="M81" s="43">
        <f>AVERAGE(L51:M51/E5*365)</f>
        <v>41.698764527804947</v>
      </c>
      <c r="N81" s="43">
        <f>AVERAGE(M51:N51/F5*365)</f>
        <v>53.675580612992775</v>
      </c>
      <c r="O81" s="43">
        <f>AVERAGE(N51:O51/G5*365)</f>
        <v>59.801718408399474</v>
      </c>
      <c r="P81" s="91" t="s">
        <v>147</v>
      </c>
    </row>
    <row r="82" spans="10:16" x14ac:dyDescent="0.3">
      <c r="J82" s="41" t="s">
        <v>47</v>
      </c>
      <c r="K82" s="46">
        <f>C20/K11</f>
        <v>2.4503306662595502E-2</v>
      </c>
      <c r="L82" s="46">
        <f>D20/L11</f>
        <v>9.5950252903063318E-2</v>
      </c>
      <c r="M82" s="46">
        <f>E20/M11</f>
        <v>9.3366782660300504E-2</v>
      </c>
      <c r="N82" s="46">
        <f>F20/N11</f>
        <v>0.58812097655775541</v>
      </c>
      <c r="O82" s="46">
        <f>G20/O11</f>
        <v>6.4585882152104011E-3</v>
      </c>
      <c r="P82" s="91" t="s">
        <v>147</v>
      </c>
    </row>
    <row r="83" spans="10:16" x14ac:dyDescent="0.3">
      <c r="J83" s="36" t="s">
        <v>48</v>
      </c>
      <c r="K83" s="43">
        <f t="shared" ref="K83:M83" si="27">(C23+C20)/C20</f>
        <v>22.06013405078825</v>
      </c>
      <c r="L83" s="43">
        <f t="shared" si="27"/>
        <v>5.4257546403349783</v>
      </c>
      <c r="M83" s="43">
        <f t="shared" si="27"/>
        <v>11.903617242574827</v>
      </c>
      <c r="N83" s="43">
        <f>(F23+F20)/F20</f>
        <v>51.634242048740212</v>
      </c>
      <c r="O83" s="43">
        <f>(G23+G20)/G20</f>
        <v>379.61527165932443</v>
      </c>
      <c r="P83" s="91" t="s">
        <v>147</v>
      </c>
    </row>
    <row r="84" spans="10:16" x14ac:dyDescent="0.3">
      <c r="J84" s="41" t="s">
        <v>113</v>
      </c>
      <c r="K84" s="43">
        <f>C5/AVERAGE(K61:K61)</f>
        <v>1.2091827827526527</v>
      </c>
      <c r="L84" s="43">
        <f>D5/AVERAGE(K61:L61)</f>
        <v>2.1315273338611087</v>
      </c>
      <c r="M84" s="43">
        <f>E5/AVERAGE(L61:M61)</f>
        <v>1.4799934429038379</v>
      </c>
      <c r="N84" s="43">
        <f>F5/AVERAGE(M61:N61)</f>
        <v>1.4528218233105019</v>
      </c>
      <c r="O84" s="55">
        <f>G5/AVERAGE(N61:O61)</f>
        <v>1.6113401642440766</v>
      </c>
      <c r="P84" s="91" t="s">
        <v>147</v>
      </c>
    </row>
  </sheetData>
  <mergeCells count="3">
    <mergeCell ref="B3:G3"/>
    <mergeCell ref="J3:O3"/>
    <mergeCell ref="B2:O2"/>
  </mergeCells>
  <pageMargins left="0.7" right="0.7" top="0.75" bottom="0.75" header="0.3" footer="0.3"/>
  <pageSetup paperSize="9" orientation="portrait" horizontalDpi="1200" verticalDpi="1200" r:id="rId1"/>
  <ignoredErrors>
    <ignoredError sqref="C57:E57 K77:O77 K78 N78:O78 L78:M78 K79:O7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BD38B-3010-4DCA-8F7B-CFDE8D4BED75}">
  <dimension ref="A1:C2"/>
  <sheetViews>
    <sheetView workbookViewId="0">
      <selection activeCell="C1" sqref="C1:C2"/>
    </sheetView>
  </sheetViews>
  <sheetFormatPr defaultColWidth="8.77734375" defaultRowHeight="14.4" x14ac:dyDescent="0.3"/>
  <sheetData>
    <row r="1" spans="1:3" x14ac:dyDescent="0.3">
      <c r="A1" s="71">
        <v>180086</v>
      </c>
      <c r="B1" s="71">
        <v>141975</v>
      </c>
      <c r="C1" s="72">
        <f>A1/B1-1</f>
        <v>0.26843458355344252</v>
      </c>
    </row>
    <row r="2" spans="1:3" x14ac:dyDescent="0.3">
      <c r="A2">
        <v>44.53</v>
      </c>
      <c r="B2">
        <v>37.92</v>
      </c>
      <c r="C2" s="72">
        <f>A2/B2-1</f>
        <v>0.17431434599156126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ColWidth="8.77734375"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14</v>
      </c>
      <c r="C1" s="1" t="s">
        <v>65</v>
      </c>
      <c r="D1" s="1" t="s">
        <v>14</v>
      </c>
      <c r="E1" s="1" t="s">
        <v>65</v>
      </c>
      <c r="F1" s="1" t="s">
        <v>14</v>
      </c>
      <c r="G1" s="1" t="s">
        <v>65</v>
      </c>
      <c r="H1" s="1" t="s">
        <v>14</v>
      </c>
      <c r="I1" s="1" t="s">
        <v>65</v>
      </c>
      <c r="J1" s="1" t="s">
        <v>14</v>
      </c>
      <c r="K1" s="1" t="s">
        <v>65</v>
      </c>
    </row>
    <row r="2" spans="1:11" x14ac:dyDescent="0.3">
      <c r="A2" s="2" t="s">
        <v>66</v>
      </c>
      <c r="B2" s="95" t="s">
        <v>109</v>
      </c>
      <c r="C2" s="96"/>
      <c r="D2" s="95" t="s">
        <v>110</v>
      </c>
      <c r="E2" s="96"/>
      <c r="F2" s="95" t="s">
        <v>111</v>
      </c>
      <c r="G2" s="96"/>
      <c r="H2" s="97" t="s">
        <v>112</v>
      </c>
      <c r="I2" s="98"/>
      <c r="J2" s="95" t="s">
        <v>67</v>
      </c>
      <c r="K2" s="96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68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69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70</v>
      </c>
      <c r="B6" s="6"/>
      <c r="C6" s="9" t="s">
        <v>64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71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72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73</v>
      </c>
      <c r="B9" s="6"/>
      <c r="C9" s="9" t="s">
        <v>64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71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74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10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75</v>
      </c>
      <c r="B13" s="6"/>
      <c r="C13" s="9" t="s">
        <v>64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71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76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77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78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60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79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80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81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82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57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83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84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59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85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86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87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41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88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89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90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91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92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93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94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95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96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97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6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98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99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100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101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102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103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104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105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106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97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107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108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Sheet1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2026-08-21T11:13:19Z</dcterms:modified>
</cp:coreProperties>
</file>