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ABD1344-E360-40C1-B1B5-4E02306127E5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Sheet'!$A$1:$K$77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" i="3" l="1"/>
  <c r="M71" i="3"/>
  <c r="M70" i="3"/>
  <c r="N69" i="3"/>
  <c r="N66" i="3"/>
  <c r="N65" i="3"/>
  <c r="M64" i="3"/>
  <c r="N63" i="3"/>
  <c r="M63" i="3"/>
  <c r="M62" i="3"/>
  <c r="M61" i="3"/>
  <c r="M60" i="3"/>
  <c r="M59" i="3"/>
  <c r="N58" i="3"/>
  <c r="M58" i="3"/>
  <c r="O57" i="3"/>
  <c r="N57" i="3"/>
  <c r="M57" i="3"/>
  <c r="N55" i="3"/>
  <c r="M55" i="3"/>
  <c r="O54" i="3"/>
  <c r="C42" i="3"/>
  <c r="B42" i="3"/>
  <c r="C41" i="3"/>
  <c r="B41" i="3"/>
  <c r="N50" i="3"/>
  <c r="N14" i="3"/>
  <c r="M10" i="3"/>
  <c r="D52" i="3"/>
  <c r="N53" i="3" l="1"/>
  <c r="N64" i="3" s="1"/>
  <c r="M53" i="3"/>
  <c r="B52" i="3" s="1"/>
  <c r="D55" i="3"/>
  <c r="N37" i="3"/>
  <c r="M37" i="3"/>
  <c r="D7" i="3"/>
  <c r="D11" i="3" s="1"/>
  <c r="C54" i="3"/>
  <c r="C52" i="3"/>
  <c r="N54" i="3"/>
  <c r="C45" i="3"/>
  <c r="C47" i="3" s="1"/>
  <c r="C7" i="3"/>
  <c r="C11" i="3" s="1"/>
  <c r="N42" i="3"/>
  <c r="N34" i="3"/>
  <c r="N25" i="3"/>
  <c r="N9" i="3"/>
  <c r="N70" i="3" s="1"/>
  <c r="N6" i="3"/>
  <c r="N10" i="3" s="1"/>
  <c r="M54" i="3"/>
  <c r="D14" i="3" l="1"/>
  <c r="D19" i="3"/>
  <c r="N48" i="3"/>
  <c r="N49" i="3"/>
  <c r="N11" i="3" s="1"/>
  <c r="N62" i="3"/>
  <c r="N71" i="3"/>
  <c r="C14" i="3"/>
  <c r="C53" i="3"/>
  <c r="C55" i="3" s="1"/>
  <c r="N59" i="3" s="1"/>
  <c r="C19" i="3"/>
  <c r="D21" i="3" l="1"/>
  <c r="D22" i="3"/>
  <c r="C21" i="3"/>
  <c r="N61" i="3"/>
  <c r="C22" i="3"/>
  <c r="B7" i="3"/>
  <c r="B11" i="3" s="1"/>
  <c r="I67" i="3"/>
  <c r="J67" i="3"/>
  <c r="K67" i="3"/>
  <c r="L67" i="3"/>
  <c r="H67" i="3"/>
  <c r="M9" i="3"/>
  <c r="B54" i="3"/>
  <c r="B45" i="3"/>
  <c r="B47" i="3" s="1"/>
  <c r="M14" i="3"/>
  <c r="M6" i="3"/>
  <c r="C37" i="3"/>
  <c r="D27" i="3" l="1"/>
  <c r="D25" i="3"/>
  <c r="C25" i="3"/>
  <c r="N60" i="3"/>
  <c r="C27" i="3"/>
  <c r="B53" i="3"/>
  <c r="B55" i="3" s="1"/>
  <c r="B14" i="3"/>
  <c r="B19" i="3"/>
  <c r="B22" i="3" l="1"/>
  <c r="B21" i="3"/>
  <c r="M42" i="3"/>
  <c r="M34" i="3"/>
  <c r="M25" i="3"/>
  <c r="M49" i="3" s="1"/>
  <c r="L9" i="3"/>
  <c r="M48" i="3" l="1"/>
  <c r="B25" i="3"/>
  <c r="M11" i="3"/>
  <c r="M50" i="3"/>
  <c r="B27" i="3" l="1"/>
  <c r="L64" i="3" l="1"/>
  <c r="H65" i="3" l="1"/>
  <c r="H9" i="3"/>
  <c r="H42" i="3"/>
  <c r="H37" i="3"/>
  <c r="H66" i="3" s="1"/>
  <c r="H14" i="3"/>
  <c r="J34" i="3"/>
  <c r="I34" i="3"/>
  <c r="J42" i="3"/>
  <c r="I25" i="3"/>
  <c r="J25" i="3"/>
  <c r="I14" i="3"/>
  <c r="J14" i="3"/>
  <c r="I9" i="3"/>
  <c r="J9" i="3"/>
  <c r="L34" i="3"/>
  <c r="K34" i="3"/>
  <c r="K42" i="3"/>
  <c r="L42" i="3"/>
  <c r="L25" i="3"/>
  <c r="K25" i="3"/>
  <c r="L14" i="3"/>
  <c r="K14" i="3"/>
  <c r="K9" i="3"/>
  <c r="L6" i="3"/>
  <c r="L10" i="3" s="1"/>
  <c r="K6" i="3"/>
  <c r="J66" i="3"/>
  <c r="K66" i="3"/>
  <c r="L66" i="3"/>
  <c r="I64" i="3"/>
  <c r="J64" i="3"/>
  <c r="K64" i="3"/>
  <c r="I42" i="3"/>
  <c r="H25" i="3"/>
  <c r="I54" i="3"/>
  <c r="J54" i="3"/>
  <c r="K54" i="3"/>
  <c r="L54" i="3"/>
  <c r="H54" i="3"/>
  <c r="L65" i="3"/>
  <c r="I70" i="3" l="1"/>
  <c r="L48" i="3"/>
  <c r="K48" i="3"/>
  <c r="H34" i="3"/>
  <c r="H48" i="3" s="1"/>
  <c r="L55" i="3"/>
  <c r="I66" i="3"/>
  <c r="I48" i="3"/>
  <c r="K49" i="3"/>
  <c r="K11" i="3" s="1"/>
  <c r="L49" i="3"/>
  <c r="L11" i="3" s="1"/>
  <c r="J48" i="3"/>
  <c r="L70" i="3"/>
  <c r="K10" i="3"/>
  <c r="K50" i="3"/>
  <c r="L50" i="3"/>
  <c r="L68" i="3"/>
  <c r="L71" i="3"/>
  <c r="K71" i="3"/>
  <c r="J71" i="3"/>
  <c r="I71" i="3"/>
  <c r="L61" i="3"/>
  <c r="L57" i="3"/>
  <c r="K69" i="3" l="1"/>
  <c r="L69" i="3"/>
  <c r="I69" i="3"/>
  <c r="H69" i="3"/>
  <c r="J69" i="3"/>
  <c r="L59" i="3"/>
  <c r="L63" i="3"/>
  <c r="L62" i="3"/>
  <c r="L58" i="3"/>
  <c r="L60" i="3" l="1"/>
  <c r="K65" i="3"/>
  <c r="K68" i="3" l="1"/>
  <c r="K57" i="3"/>
  <c r="I65" i="3" l="1"/>
  <c r="I68" i="3" l="1"/>
  <c r="H68" i="3"/>
  <c r="J6" i="3"/>
  <c r="J10" i="3" s="1"/>
  <c r="I6" i="3"/>
  <c r="I10" i="3" s="1"/>
  <c r="H6" i="3"/>
  <c r="H10" i="3" l="1"/>
  <c r="H61" i="3" s="1"/>
  <c r="H63" i="3"/>
  <c r="H60" i="3"/>
  <c r="H50" i="3"/>
  <c r="J60" i="3"/>
  <c r="J50" i="3"/>
  <c r="J61" i="3"/>
  <c r="K60" i="3"/>
  <c r="K61" i="3"/>
  <c r="I60" i="3"/>
  <c r="I50" i="3"/>
  <c r="I61" i="3"/>
  <c r="H55" i="3"/>
  <c r="H58" i="3" s="1"/>
  <c r="I55" i="3"/>
  <c r="J55" i="3"/>
  <c r="J58" i="3" s="1"/>
  <c r="H71" i="3"/>
  <c r="K63" i="3" l="1"/>
  <c r="K70" i="3"/>
  <c r="K62" i="3"/>
  <c r="K59" i="3"/>
  <c r="K55" i="3"/>
  <c r="K58" i="3" s="1"/>
  <c r="J57" i="3" l="1"/>
  <c r="J65" i="3" l="1"/>
  <c r="H64" i="3"/>
  <c r="I57" i="3"/>
  <c r="H57" i="3"/>
  <c r="H49" i="3"/>
  <c r="H11" i="3" s="1"/>
  <c r="H70" i="3" l="1"/>
  <c r="I49" i="3"/>
  <c r="I11" i="3" s="1"/>
  <c r="J49" i="3"/>
  <c r="J11" i="3" s="1"/>
  <c r="J68" i="3"/>
  <c r="I63" i="3"/>
  <c r="I62" i="3"/>
  <c r="J70" i="3"/>
  <c r="J63" i="3"/>
  <c r="J62" i="3"/>
  <c r="H62" i="3"/>
  <c r="J59" i="3" l="1"/>
  <c r="H59" i="3"/>
  <c r="I59" i="3"/>
  <c r="I58" i="3"/>
</calcChain>
</file>

<file path=xl/sharedStrings.xml><?xml version="1.0" encoding="utf-8"?>
<sst xmlns="http://schemas.openxmlformats.org/spreadsheetml/2006/main" count="199" uniqueCount="117">
  <si>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</si>
  <si>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</si>
  <si>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</si>
  <si>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</si>
  <si>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</si>
  <si>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</si>
  <si>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</si>
  <si>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</si>
  <si>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</si>
  <si>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</si>
  <si>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</si>
  <si>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</si>
  <si>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</si>
  <si>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</si>
  <si>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</si>
  <si>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</si>
  <si>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</si>
  <si>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</si>
  <si>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</si>
  <si>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</si>
  <si>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</si>
  <si>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</si>
  <si>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</si>
  <si>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</si>
  <si>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</si>
  <si>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</si>
  <si>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</si>
  <si>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</si>
  <si>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</si>
  <si>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</si>
  <si>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</si>
  <si>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</si>
  <si>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</si>
  <si>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</si>
  <si>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</si>
  <si>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</si>
  <si>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</si>
  <si>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</si>
  <si>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</si>
  <si>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</si>
  <si>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</si>
  <si>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</si>
  <si>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</si>
  <si>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</si>
  <si>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</si>
  <si>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</si>
  <si>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</si>
  <si>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</si>
  <si>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</si>
  <si>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</si>
  <si>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</si>
  <si>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</si>
  <si>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</si>
  <si>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</si>
  <si>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</si>
  <si>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</si>
  <si>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</si>
  <si>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</si>
  <si>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Finance Cost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</si>
  <si>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</si>
  <si>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</si>
  <si>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</si>
  <si>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</si>
  <si>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</si>
  <si>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</si>
  <si>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</si>
  <si>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</si>
  <si>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</si>
  <si>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</si>
  <si>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</si>
  <si>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</si>
  <si>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</si>
  <si>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</si>
  <si>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</si>
  <si>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</si>
  <si>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</si>
  <si>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</si>
  <si>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</si>
  <si>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</si>
  <si>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</si>
  <si>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</si>
  <si>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</si>
  <si>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</si>
  <si>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</si>
  <si>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</si>
  <si>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</si>
  <si>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</si>
  <si>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</si>
  <si>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</si>
  <si>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</si>
  <si>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</si>
  <si>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</si>
  <si>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</si>
  <si>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</si>
  <si>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</si>
  <si>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</si>
  <si>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</si>
  <si>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</si>
  <si>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</si>
  <si>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</si>
  <si>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</si>
  <si>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</si>
  <si>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Total Comprehensive Income</t>
  </si>
  <si>
    <t xml:space="preserve">i)Investments </t>
  </si>
  <si>
    <t xml:space="preserve">ii) Other Finanacial Assets </t>
  </si>
  <si>
    <t>NET CURRENT ASSETS</t>
  </si>
  <si>
    <t>FY25</t>
  </si>
  <si>
    <t>Financial assets :</t>
  </si>
  <si>
    <t>FY26</t>
  </si>
  <si>
    <t>Fixed asset turnover</t>
  </si>
  <si>
    <t>Mobavenue AI Tech Ltd.</t>
  </si>
  <si>
    <t>Supply and Data cost</t>
  </si>
  <si>
    <t>NA</t>
  </si>
  <si>
    <t>Q1-FY27</t>
  </si>
  <si>
    <t>Cash &amp; Cash Equivqalents</t>
  </si>
  <si>
    <t>Borrowings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</si>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</sst>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0" fontId="3" fillId="3" borderId="1" xfId="0" applyFont="1" applyFill="1" applyBorder="1"/>
    <xf numFmtId="0" fontId="3" fillId="0" borderId="1" xfId="3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7" borderId="6" xfId="0" applyFont="1" applyFill="1" applyBorder="1" applyAlignment="1">
      <alignment wrapText="1"/>
    </xf>
    <xf numFmtId="0" fontId="7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8" fillId="7" borderId="1" xfId="0" applyFont="1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11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3" xfId="0" applyFont="1" applyBorder="1"/>
    <xf numFmtId="0" fontId="6" fillId="0" borderId="2" xfId="0" applyFont="1" applyBorder="1"/>
    <xf numFmtId="0" fontId="4" fillId="0" borderId="3" xfId="0" applyFont="1" applyBorder="1"/>
    <xf numFmtId="0" fontId="4" fillId="0" borderId="2" xfId="0" applyFont="1" applyBorder="1"/>
    <xf numFmtId="0" fontId="4" fillId="5" borderId="7" xfId="0" applyFont="1" applyFill="1" applyBorder="1" applyAlignment="1">
      <alignment horizontal="right"/>
    </xf>
    <xf numFmtId="167" fontId="4" fillId="3" borderId="7" xfId="2" applyNumberFormat="1" applyFont="1" applyFill="1" applyBorder="1"/>
    <xf numFmtId="167" fontId="3" fillId="0" borderId="7" xfId="2" applyNumberFormat="1" applyFont="1" applyBorder="1"/>
    <xf numFmtId="2" fontId="3" fillId="0" borderId="0" xfId="0" applyNumberFormat="1" applyFont="1"/>
    <xf numFmtId="165" fontId="3" fillId="3" borderId="1" xfId="0" applyNumberFormat="1" applyFont="1" applyFill="1" applyBorder="1" applyAlignment="1">
      <alignment horizontal="right"/>
    </xf>
    <xf numFmtId="0" fontId="6" fillId="0" borderId="0" xfId="0" applyFont="1"/>
    <xf numFmtId="164" fontId="3" fillId="0" borderId="1" xfId="0" applyNumberFormat="1" applyFont="1" applyBorder="1"/>
    <xf numFmtId="166" fontId="3" fillId="0" borderId="1" xfId="2" applyNumberFormat="1" applyFont="1" applyFill="1" applyBorder="1"/>
    <xf numFmtId="167" fontId="4" fillId="3" borderId="1" xfId="2" applyNumberFormat="1" applyFont="1" applyFill="1" applyBorder="1" applyAlignment="1">
      <alignment horizontal="center"/>
    </xf>
    <xf numFmtId="167" fontId="3" fillId="3" borderId="1" xfId="2" applyNumberFormat="1" applyFont="1" applyFill="1" applyBorder="1" applyAlignment="1">
      <alignment horizontal="center"/>
    </xf>
    <xf numFmtId="166" fontId="3" fillId="3" borderId="1" xfId="2" applyNumberFormat="1" applyFont="1" applyFill="1" applyBorder="1" applyAlignment="1">
      <alignment horizontal="right"/>
    </xf>
    <xf numFmtId="43" fontId="3" fillId="0" borderId="0" xfId="0" applyNumberFormat="1" applyFont="1"/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164" fontId="4" fillId="3" borderId="1" xfId="0" applyNumberFormat="1" applyFont="1" applyFill="1" applyBorder="1"/>
    <xf numFmtId="0" fontId="14" fillId="7" borderId="0" xfId="0" applyFont="1" applyFill="1" applyBorder="1" applyAlignment="1">
      <alignment horizontal="right" vertical="center" wrapText="1"/>
    </xf>
    <xf numFmtId="164" fontId="13" fillId="0" borderId="7" xfId="2" applyNumberFormat="1" applyFont="1" applyFill="1" applyBorder="1"/>
    <xf numFmtId="164" fontId="13" fillId="0" borderId="1" xfId="2" applyNumberFormat="1" applyFont="1" applyFill="1" applyBorder="1"/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Q78"/>
  <sheetViews>
    <sheetView tabSelected="1" topLeftCell="B1" zoomScale="130" zoomScaleNormal="130" zoomScaleSheetLayoutView="91" workbookViewId="0">
      <pane ySplit="3" topLeftCell="A58" activePane="bottomLeft" state="frozen"/>
      <selection activeCell="E1" sqref="E1"/>
      <selection pane="bottomLeft" activeCell="G75" sqref="G75"/>
    </sheetView>
  </sheetViews>
  <sheetFormatPr defaultColWidth="9.109375" defaultRowHeight="15" customHeight="1" x14ac:dyDescent="0.2"/>
  <cols>
    <col min="1" max="1" width="49" style="1" bestFit="1" customWidth="1"/>
    <col min="2" max="4" width="12" style="1" customWidth="1"/>
    <col min="5" max="5" width="2.33203125" style="1" customWidth="1"/>
    <col min="6" max="6" width="0.44140625" style="1" customWidth="1"/>
    <col min="7" max="7" width="55.88671875" style="1" bestFit="1" customWidth="1"/>
    <col min="8" max="8" width="12.33203125" style="15" hidden="1" customWidth="1"/>
    <col min="9" max="9" width="12.44140625" style="15" hidden="1" customWidth="1"/>
    <col min="10" max="10" width="12" style="1" hidden="1" customWidth="1"/>
    <col min="11" max="11" width="9.109375" style="1" hidden="1" customWidth="1"/>
    <col min="12" max="12" width="10.88671875" style="1" hidden="1" customWidth="1"/>
    <col min="13" max="13" width="14.88671875" style="1" bestFit="1" customWidth="1"/>
    <col min="14" max="16384" width="9.109375" style="1"/>
  </cols>
  <sheetData>
    <row r="1" spans="1:14" ht="15" customHeight="1" x14ac:dyDescent="0.2">
      <c r="A1" s="73" t="s">
        <v>110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15" customHeight="1" x14ac:dyDescent="0.3">
      <c r="A2" s="57" t="s">
        <v>56</v>
      </c>
      <c r="B2" s="58"/>
      <c r="C2" s="66"/>
      <c r="D2" s="55"/>
      <c r="E2" s="2"/>
      <c r="F2" s="2"/>
      <c r="G2" s="75" t="s">
        <v>57</v>
      </c>
      <c r="H2" s="75"/>
      <c r="I2" s="75"/>
      <c r="J2" s="75"/>
      <c r="K2" s="75"/>
      <c r="L2" s="75"/>
      <c r="M2" s="75"/>
    </row>
    <row r="3" spans="1:14" ht="15" customHeight="1" x14ac:dyDescent="0.2">
      <c r="A3" s="3" t="s">
        <v>0</v>
      </c>
      <c r="B3" s="9" t="s">
        <v>106</v>
      </c>
      <c r="C3" s="9" t="s">
        <v>108</v>
      </c>
      <c r="D3" s="9" t="s">
        <v>113</v>
      </c>
      <c r="E3" s="2"/>
      <c r="F3" s="2"/>
      <c r="G3" s="3" t="s">
        <v>0</v>
      </c>
      <c r="H3" s="48" t="s">
        <v>60</v>
      </c>
      <c r="I3" s="48" t="s">
        <v>65</v>
      </c>
      <c r="J3" s="48" t="s">
        <v>66</v>
      </c>
      <c r="K3" s="48" t="s">
        <v>77</v>
      </c>
      <c r="L3" s="48" t="s">
        <v>78</v>
      </c>
      <c r="M3" s="9" t="s">
        <v>106</v>
      </c>
      <c r="N3" s="9" t="s">
        <v>108</v>
      </c>
    </row>
    <row r="4" spans="1:14" ht="15" customHeight="1" x14ac:dyDescent="0.2">
      <c r="A4" s="8" t="s">
        <v>68</v>
      </c>
      <c r="B4" s="47">
        <v>866.99400000000003</v>
      </c>
      <c r="C4" s="47">
        <v>2184.777</v>
      </c>
      <c r="D4" s="47">
        <v>728.46400000000006</v>
      </c>
      <c r="E4" s="5"/>
      <c r="F4" s="5"/>
      <c r="G4" s="6" t="s">
        <v>96</v>
      </c>
      <c r="H4" s="50">
        <v>207.321</v>
      </c>
      <c r="I4" s="50">
        <v>207.321</v>
      </c>
      <c r="J4" s="50">
        <v>207.321</v>
      </c>
      <c r="K4" s="50">
        <v>207.3</v>
      </c>
      <c r="L4" s="50">
        <v>207.3</v>
      </c>
      <c r="M4" s="50">
        <v>150</v>
      </c>
      <c r="N4" s="7">
        <v>154.596</v>
      </c>
    </row>
    <row r="5" spans="1:14" ht="15" customHeight="1" x14ac:dyDescent="0.2">
      <c r="A5" s="16" t="s">
        <v>1</v>
      </c>
      <c r="B5" s="65" t="s">
        <v>112</v>
      </c>
      <c r="C5" s="65" t="s">
        <v>112</v>
      </c>
      <c r="D5" s="65" t="s">
        <v>112</v>
      </c>
      <c r="G5" s="6" t="s">
        <v>97</v>
      </c>
      <c r="H5" s="7">
        <v>4629.8950000000004</v>
      </c>
      <c r="I5" s="50">
        <v>5244.415</v>
      </c>
      <c r="J5" s="50">
        <v>5833.58</v>
      </c>
      <c r="K5" s="50">
        <v>6665.3</v>
      </c>
      <c r="L5" s="50">
        <v>7556.7</v>
      </c>
      <c r="M5" s="50">
        <v>-38.225000000000001</v>
      </c>
      <c r="N5" s="7">
        <v>750.97500000000002</v>
      </c>
    </row>
    <row r="6" spans="1:14" ht="15" customHeight="1" x14ac:dyDescent="0.2">
      <c r="A6" s="16" t="s">
        <v>101</v>
      </c>
      <c r="B6" s="65" t="s">
        <v>112</v>
      </c>
      <c r="C6" s="65" t="s">
        <v>112</v>
      </c>
      <c r="D6" s="65" t="s">
        <v>112</v>
      </c>
      <c r="G6" s="4" t="s">
        <v>98</v>
      </c>
      <c r="H6" s="32">
        <f t="shared" ref="H6:L6" si="0">SUM(H4:H5)</f>
        <v>4837.2160000000003</v>
      </c>
      <c r="I6" s="32">
        <f t="shared" si="0"/>
        <v>5451.7359999999999</v>
      </c>
      <c r="J6" s="32">
        <f t="shared" si="0"/>
        <v>6040.9009999999998</v>
      </c>
      <c r="K6" s="32">
        <f t="shared" si="0"/>
        <v>6872.6</v>
      </c>
      <c r="L6" s="32">
        <f t="shared" si="0"/>
        <v>7764</v>
      </c>
      <c r="M6" s="32">
        <f>SUM(M4:M5)</f>
        <v>111.77500000000001</v>
      </c>
      <c r="N6" s="32">
        <f>SUM(N4:N5)</f>
        <v>905.57100000000003</v>
      </c>
    </row>
    <row r="7" spans="1:14" ht="15" customHeight="1" x14ac:dyDescent="0.2">
      <c r="A7" s="4" t="s">
        <v>3</v>
      </c>
      <c r="B7" s="32">
        <f>SUM(B8:B10)</f>
        <v>723.83199999999999</v>
      </c>
      <c r="C7" s="32">
        <f>SUM(C8:C10)</f>
        <v>1731.114</v>
      </c>
      <c r="D7" s="32">
        <f>SUM(D8:D10)</f>
        <v>574.28200000000004</v>
      </c>
      <c r="G7" s="6" t="s">
        <v>23</v>
      </c>
      <c r="H7" s="50">
        <v>128.6</v>
      </c>
      <c r="I7" s="50">
        <v>163.1</v>
      </c>
      <c r="J7" s="50">
        <v>117.3</v>
      </c>
      <c r="K7" s="50">
        <v>83.3</v>
      </c>
      <c r="L7" s="50">
        <v>27</v>
      </c>
      <c r="M7" s="50">
        <v>0</v>
      </c>
      <c r="N7" s="50">
        <v>6.9169999999999998</v>
      </c>
    </row>
    <row r="8" spans="1:14" ht="15" customHeight="1" x14ac:dyDescent="0.2">
      <c r="A8" s="6" t="s">
        <v>111</v>
      </c>
      <c r="B8" s="50">
        <v>479.31200000000001</v>
      </c>
      <c r="C8" s="7">
        <v>1315.895</v>
      </c>
      <c r="D8" s="7">
        <v>440.12200000000001</v>
      </c>
      <c r="G8" s="6" t="s">
        <v>24</v>
      </c>
      <c r="H8" s="50">
        <v>317.39999999999998</v>
      </c>
      <c r="I8" s="50">
        <v>154.5</v>
      </c>
      <c r="J8" s="50">
        <v>230.8</v>
      </c>
      <c r="K8" s="50">
        <v>601</v>
      </c>
      <c r="L8" s="50">
        <v>1992.9</v>
      </c>
      <c r="M8" s="50">
        <v>82.599000000000004</v>
      </c>
      <c r="N8" s="7">
        <v>77.963999999999999</v>
      </c>
    </row>
    <row r="9" spans="1:14" ht="15" customHeight="1" x14ac:dyDescent="0.2">
      <c r="A9" s="6" t="s">
        <v>43</v>
      </c>
      <c r="B9" s="50">
        <v>157.34399999999999</v>
      </c>
      <c r="C9" s="7">
        <v>259.089</v>
      </c>
      <c r="D9" s="7">
        <v>83.834999999999994</v>
      </c>
      <c r="G9" s="4" t="s">
        <v>25</v>
      </c>
      <c r="H9" s="32">
        <f t="shared" ref="H9:K9" si="1">(H7+H8)</f>
        <v>446</v>
      </c>
      <c r="I9" s="32">
        <f t="shared" si="1"/>
        <v>317.60000000000002</v>
      </c>
      <c r="J9" s="32">
        <f t="shared" si="1"/>
        <v>348.1</v>
      </c>
      <c r="K9" s="32">
        <f t="shared" si="1"/>
        <v>684.3</v>
      </c>
      <c r="L9" s="32">
        <f>(L7+L8)</f>
        <v>2019.9</v>
      </c>
      <c r="M9" s="32">
        <f>M7+M8</f>
        <v>82.599000000000004</v>
      </c>
      <c r="N9" s="32">
        <f>N7+N8</f>
        <v>84.881</v>
      </c>
    </row>
    <row r="10" spans="1:14" ht="15" customHeight="1" x14ac:dyDescent="0.2">
      <c r="A10" s="6" t="s">
        <v>44</v>
      </c>
      <c r="B10" s="50">
        <v>87.176000000000002</v>
      </c>
      <c r="C10" s="7">
        <v>156.13</v>
      </c>
      <c r="D10" s="7">
        <v>50.325000000000003</v>
      </c>
      <c r="G10" s="4" t="s">
        <v>26</v>
      </c>
      <c r="H10" s="32">
        <f t="shared" ref="H10:N10" si="2">(H6+H7+H46+H44+H45+H47)</f>
        <v>5152.4859999999999</v>
      </c>
      <c r="I10" s="32">
        <f t="shared" si="2"/>
        <v>6518.3150000000005</v>
      </c>
      <c r="J10" s="32">
        <f t="shared" si="2"/>
        <v>7074.2460000000001</v>
      </c>
      <c r="K10" s="32">
        <f t="shared" si="2"/>
        <v>7953.4000000000005</v>
      </c>
      <c r="L10" s="32">
        <f t="shared" si="2"/>
        <v>9527.1999999999989</v>
      </c>
      <c r="M10" s="32">
        <f>(M6+M7+M46+M44+M45+M47)</f>
        <v>602.22500000000002</v>
      </c>
      <c r="N10" s="32">
        <f t="shared" si="2"/>
        <v>1329.0120000000002</v>
      </c>
    </row>
    <row r="11" spans="1:14" ht="15" customHeight="1" x14ac:dyDescent="0.2">
      <c r="A11" s="4" t="s">
        <v>4</v>
      </c>
      <c r="B11" s="32">
        <f>B4-B7</f>
        <v>143.16200000000003</v>
      </c>
      <c r="C11" s="32">
        <f>C4-C7</f>
        <v>453.66300000000001</v>
      </c>
      <c r="D11" s="32">
        <f>D4-D7</f>
        <v>154.18200000000002</v>
      </c>
      <c r="G11" s="4" t="s">
        <v>26</v>
      </c>
      <c r="H11" s="32">
        <f t="shared" ref="H11:N11" si="3">H49-H34</f>
        <v>3240.7259999999997</v>
      </c>
      <c r="I11" s="32">
        <f t="shared" si="3"/>
        <v>4331.5059999999994</v>
      </c>
      <c r="J11" s="32">
        <f t="shared" si="3"/>
        <v>5047.1269999999986</v>
      </c>
      <c r="K11" s="32">
        <f t="shared" si="3"/>
        <v>5049.8999999999996</v>
      </c>
      <c r="L11" s="32">
        <f t="shared" si="3"/>
        <v>4729.2999999999993</v>
      </c>
      <c r="M11" s="32">
        <f t="shared" si="3"/>
        <v>602.22500000000014</v>
      </c>
      <c r="N11" s="32">
        <f t="shared" si="3"/>
        <v>1329.0110000000002</v>
      </c>
    </row>
    <row r="12" spans="1:14" ht="15" customHeight="1" x14ac:dyDescent="0.2">
      <c r="A12" s="16" t="s">
        <v>1</v>
      </c>
      <c r="B12" s="65" t="s">
        <v>112</v>
      </c>
      <c r="C12" s="65" t="s">
        <v>112</v>
      </c>
      <c r="D12" s="65" t="s">
        <v>112</v>
      </c>
      <c r="G12" s="2"/>
      <c r="H12" s="31"/>
      <c r="I12" s="31"/>
      <c r="J12" s="31"/>
      <c r="K12" s="31"/>
      <c r="L12" s="31"/>
      <c r="M12" s="31"/>
      <c r="N12" s="31"/>
    </row>
    <row r="13" spans="1:14" ht="15" customHeight="1" x14ac:dyDescent="0.2">
      <c r="A13" s="16" t="s">
        <v>101</v>
      </c>
      <c r="B13" s="65" t="s">
        <v>112</v>
      </c>
      <c r="C13" s="65" t="s">
        <v>112</v>
      </c>
      <c r="D13" s="65" t="s">
        <v>112</v>
      </c>
      <c r="H13" s="52"/>
      <c r="I13" s="52"/>
      <c r="J13" s="52"/>
      <c r="K13" s="52"/>
      <c r="L13" s="52"/>
      <c r="M13" s="53"/>
      <c r="N13" s="53"/>
    </row>
    <row r="14" spans="1:14" ht="15" customHeight="1" x14ac:dyDescent="0.2">
      <c r="A14" s="4" t="s">
        <v>5</v>
      </c>
      <c r="B14" s="33">
        <f>(B11/B4)</f>
        <v>0.16512455680200788</v>
      </c>
      <c r="C14" s="33">
        <f>(C11/C4)</f>
        <v>0.20764727933331412</v>
      </c>
      <c r="D14" s="33">
        <f>(D11/D4)</f>
        <v>0.21165356146631817</v>
      </c>
      <c r="G14" s="4" t="s">
        <v>70</v>
      </c>
      <c r="H14" s="32">
        <f t="shared" ref="H14:N14" si="4">SUM(H15:H24)</f>
        <v>2190.2749999999996</v>
      </c>
      <c r="I14" s="32">
        <f t="shared" si="4"/>
        <v>2946.0499999999997</v>
      </c>
      <c r="J14" s="32">
        <f t="shared" si="4"/>
        <v>2561.8279999999995</v>
      </c>
      <c r="K14" s="32">
        <f t="shared" si="4"/>
        <v>3138.1</v>
      </c>
      <c r="L14" s="32">
        <f t="shared" si="4"/>
        <v>4143.8999999999987</v>
      </c>
      <c r="M14" s="32">
        <f t="shared" si="4"/>
        <v>135.977</v>
      </c>
      <c r="N14" s="32">
        <f>SUM(N15:N24)</f>
        <v>262.13499999999999</v>
      </c>
    </row>
    <row r="15" spans="1:14" ht="15" customHeight="1" x14ac:dyDescent="0.2">
      <c r="A15" s="6" t="s">
        <v>6</v>
      </c>
      <c r="B15" s="7">
        <v>11.645</v>
      </c>
      <c r="C15" s="7">
        <v>17.616</v>
      </c>
      <c r="D15" s="7">
        <v>21.545000000000002</v>
      </c>
      <c r="G15" s="6" t="s">
        <v>76</v>
      </c>
      <c r="H15" s="50">
        <v>1485.53</v>
      </c>
      <c r="I15" s="50">
        <v>1517.8030000000001</v>
      </c>
      <c r="J15" s="54">
        <v>1492.6869999999999</v>
      </c>
      <c r="K15" s="54">
        <v>1530.5</v>
      </c>
      <c r="L15" s="54">
        <v>1554.1</v>
      </c>
      <c r="M15" s="54">
        <v>5.48</v>
      </c>
      <c r="N15" s="7">
        <v>13.295999999999999</v>
      </c>
    </row>
    <row r="16" spans="1:14" ht="15" customHeight="1" x14ac:dyDescent="0.2">
      <c r="A16" s="6" t="s">
        <v>7</v>
      </c>
      <c r="B16" s="7">
        <v>6.3150000000000004</v>
      </c>
      <c r="C16" s="7">
        <v>21.587</v>
      </c>
      <c r="D16" s="7">
        <v>6.7960000000000003</v>
      </c>
      <c r="G16" s="6" t="s">
        <v>74</v>
      </c>
      <c r="H16" s="50">
        <v>0</v>
      </c>
      <c r="I16" s="50">
        <v>758.57399999999996</v>
      </c>
      <c r="J16" s="50">
        <v>752.12</v>
      </c>
      <c r="K16" s="50">
        <v>784.2</v>
      </c>
      <c r="L16" s="50">
        <v>1181.3</v>
      </c>
      <c r="M16" s="50">
        <v>34.112000000000002</v>
      </c>
      <c r="N16" s="7">
        <v>39.670999999999999</v>
      </c>
    </row>
    <row r="17" spans="1:14" ht="15" customHeight="1" x14ac:dyDescent="0.2">
      <c r="A17" s="6" t="s">
        <v>58</v>
      </c>
      <c r="B17" s="7">
        <v>7.9980000000000002</v>
      </c>
      <c r="C17" s="7">
        <v>40.694000000000003</v>
      </c>
      <c r="D17" s="7">
        <v>13.686</v>
      </c>
      <c r="G17" s="6" t="s">
        <v>79</v>
      </c>
      <c r="H17" s="50">
        <v>9.4359999999999999</v>
      </c>
      <c r="I17" s="50">
        <v>5.758</v>
      </c>
      <c r="J17" s="50">
        <v>3.601</v>
      </c>
      <c r="K17" s="50">
        <v>3.6</v>
      </c>
      <c r="L17" s="50">
        <v>73.7</v>
      </c>
      <c r="M17" s="50">
        <v>0</v>
      </c>
      <c r="N17" s="7">
        <v>18.015999999999998</v>
      </c>
    </row>
    <row r="18" spans="1:14" ht="15" customHeight="1" x14ac:dyDescent="0.2">
      <c r="A18" s="6" t="s">
        <v>8</v>
      </c>
      <c r="B18" s="7">
        <v>0</v>
      </c>
      <c r="C18" s="7">
        <v>0</v>
      </c>
      <c r="D18" s="7">
        <v>0</v>
      </c>
      <c r="G18" s="6" t="s">
        <v>80</v>
      </c>
      <c r="H18" s="50">
        <v>0</v>
      </c>
      <c r="I18" s="50">
        <v>0</v>
      </c>
      <c r="J18" s="50">
        <v>0</v>
      </c>
      <c r="K18" s="50">
        <v>18.3</v>
      </c>
      <c r="L18" s="50">
        <v>0</v>
      </c>
      <c r="M18" s="50">
        <v>0</v>
      </c>
      <c r="N18" s="7">
        <v>92.334000000000003</v>
      </c>
    </row>
    <row r="19" spans="1:14" ht="15" customHeight="1" x14ac:dyDescent="0.2">
      <c r="A19" s="4" t="s">
        <v>9</v>
      </c>
      <c r="B19" s="32">
        <f>B11+B15-B16-B17</f>
        <v>140.49400000000006</v>
      </c>
      <c r="C19" s="32">
        <f>C11+C15-C16-C17</f>
        <v>408.99799999999999</v>
      </c>
      <c r="D19" s="32">
        <f>D11+D15-D16-D17</f>
        <v>155.24500000000003</v>
      </c>
      <c r="G19" s="30" t="s">
        <v>107</v>
      </c>
      <c r="H19" s="50">
        <v>42.6</v>
      </c>
      <c r="I19" s="50">
        <v>40.299999999999997</v>
      </c>
      <c r="J19" s="50">
        <v>57.7</v>
      </c>
      <c r="K19" s="50">
        <v>0</v>
      </c>
      <c r="L19" s="50">
        <v>0</v>
      </c>
      <c r="M19" s="50">
        <v>0</v>
      </c>
      <c r="N19" s="7">
        <v>0</v>
      </c>
    </row>
    <row r="20" spans="1:14" ht="15" customHeight="1" x14ac:dyDescent="0.2">
      <c r="A20" s="6" t="s">
        <v>10</v>
      </c>
      <c r="B20" s="50">
        <v>43.854999999999997</v>
      </c>
      <c r="C20" s="7">
        <v>115.499</v>
      </c>
      <c r="D20" s="7">
        <v>38.645000000000003</v>
      </c>
      <c r="G20" s="6" t="s">
        <v>103</v>
      </c>
      <c r="H20" s="7">
        <v>477.2</v>
      </c>
      <c r="I20" s="7">
        <v>357.1</v>
      </c>
      <c r="J20" s="54">
        <v>39.200000000000003</v>
      </c>
      <c r="K20" s="54">
        <v>543.6</v>
      </c>
      <c r="L20" s="54">
        <v>638</v>
      </c>
      <c r="M20" s="54">
        <v>14.13</v>
      </c>
      <c r="N20" s="7">
        <v>18.884</v>
      </c>
    </row>
    <row r="21" spans="1:14" ht="15" customHeight="1" x14ac:dyDescent="0.2">
      <c r="A21" s="16" t="s">
        <v>11</v>
      </c>
      <c r="B21" s="34">
        <f>(B20/B19)</f>
        <v>0.31214856150440573</v>
      </c>
      <c r="C21" s="34">
        <f>(C20/C19)</f>
        <v>0.28239502393654736</v>
      </c>
      <c r="D21" s="34">
        <f>(D20/D19)</f>
        <v>0.24892911204869719</v>
      </c>
      <c r="G21" s="6" t="s">
        <v>104</v>
      </c>
      <c r="H21" s="7">
        <v>0.86</v>
      </c>
      <c r="I21" s="7">
        <v>81.2</v>
      </c>
      <c r="J21" s="50">
        <v>100.5</v>
      </c>
      <c r="K21" s="50">
        <v>71.900000000000006</v>
      </c>
      <c r="L21" s="50">
        <v>366.7</v>
      </c>
      <c r="M21" s="50">
        <v>4.9779999999999998</v>
      </c>
      <c r="N21" s="7">
        <v>5.9619999999999997</v>
      </c>
    </row>
    <row r="22" spans="1:14" ht="15" customHeight="1" x14ac:dyDescent="0.2">
      <c r="A22" s="4" t="s">
        <v>99</v>
      </c>
      <c r="B22" s="32">
        <f>B19-B20</f>
        <v>96.639000000000067</v>
      </c>
      <c r="C22" s="32">
        <f>C19-C20</f>
        <v>293.49900000000002</v>
      </c>
      <c r="D22" s="32">
        <f>D19-D20</f>
        <v>116.60000000000002</v>
      </c>
      <c r="G22" s="6" t="s">
        <v>82</v>
      </c>
      <c r="H22" s="51">
        <v>90.79</v>
      </c>
      <c r="I22" s="50">
        <v>88.953999999999994</v>
      </c>
      <c r="J22" s="50">
        <v>0</v>
      </c>
      <c r="K22" s="50">
        <v>24.8</v>
      </c>
      <c r="L22" s="50">
        <v>23.7</v>
      </c>
      <c r="M22" s="50">
        <v>27.212</v>
      </c>
      <c r="N22" s="7">
        <v>46.398000000000003</v>
      </c>
    </row>
    <row r="23" spans="1:14" ht="15" customHeight="1" x14ac:dyDescent="0.2">
      <c r="A23" s="16" t="s">
        <v>1</v>
      </c>
      <c r="B23" s="65" t="s">
        <v>112</v>
      </c>
      <c r="C23" s="65" t="s">
        <v>112</v>
      </c>
      <c r="D23" s="65" t="s">
        <v>112</v>
      </c>
      <c r="G23" s="6" t="s">
        <v>83</v>
      </c>
      <c r="H23" s="50">
        <v>71.206000000000003</v>
      </c>
      <c r="I23" s="50">
        <v>79.161000000000001</v>
      </c>
      <c r="J23" s="50">
        <v>91.228999999999999</v>
      </c>
      <c r="K23" s="50">
        <v>129.1</v>
      </c>
      <c r="L23" s="50">
        <v>222.6</v>
      </c>
      <c r="M23" s="50">
        <v>27.74</v>
      </c>
      <c r="N23" s="7">
        <v>17.574000000000002</v>
      </c>
    </row>
    <row r="24" spans="1:14" ht="15" customHeight="1" x14ac:dyDescent="0.2">
      <c r="A24" s="16" t="s">
        <v>2</v>
      </c>
      <c r="B24" s="65" t="s">
        <v>112</v>
      </c>
      <c r="C24" s="65" t="s">
        <v>112</v>
      </c>
      <c r="D24" s="65" t="s">
        <v>112</v>
      </c>
      <c r="G24" s="6" t="s">
        <v>59</v>
      </c>
      <c r="H24" s="50">
        <v>12.653</v>
      </c>
      <c r="I24" s="50">
        <v>17.2</v>
      </c>
      <c r="J24" s="50">
        <v>24.791</v>
      </c>
      <c r="K24" s="50">
        <v>32.1</v>
      </c>
      <c r="L24" s="50">
        <v>83.8</v>
      </c>
      <c r="M24" s="50">
        <v>22.324999999999999</v>
      </c>
      <c r="N24" s="7">
        <v>10</v>
      </c>
    </row>
    <row r="25" spans="1:14" ht="15" customHeight="1" x14ac:dyDescent="0.2">
      <c r="A25" s="4" t="s">
        <v>52</v>
      </c>
      <c r="B25" s="35">
        <f>(B22/B4)</f>
        <v>0.11146443920027135</v>
      </c>
      <c r="C25" s="35">
        <f>(C22/C4)</f>
        <v>0.13433819561447233</v>
      </c>
      <c r="D25" s="35">
        <f>(D22/D4)</f>
        <v>0.16006281710558107</v>
      </c>
      <c r="G25" s="4" t="s">
        <v>71</v>
      </c>
      <c r="H25" s="32">
        <f t="shared" ref="H25:N25" si="5">SUM(H26:H33)</f>
        <v>3781.3029999999999</v>
      </c>
      <c r="I25" s="32">
        <f t="shared" si="5"/>
        <v>3971.5889999999999</v>
      </c>
      <c r="J25" s="32">
        <f t="shared" si="5"/>
        <v>4777.0689999999995</v>
      </c>
      <c r="K25" s="32">
        <f t="shared" si="5"/>
        <v>5123.5999999999995</v>
      </c>
      <c r="L25" s="32">
        <f t="shared" si="5"/>
        <v>6022.4000000000005</v>
      </c>
      <c r="M25" s="32">
        <f t="shared" si="5"/>
        <v>976.27400000000011</v>
      </c>
      <c r="N25" s="32">
        <f t="shared" si="5"/>
        <v>1791.7970000000003</v>
      </c>
    </row>
    <row r="26" spans="1:14" ht="15" customHeight="1" x14ac:dyDescent="0.2">
      <c r="A26" s="6" t="s">
        <v>45</v>
      </c>
      <c r="B26" s="50">
        <v>0.88</v>
      </c>
      <c r="C26" s="50">
        <v>5.9779999999999998</v>
      </c>
      <c r="D26" s="50">
        <v>1.1830000000000001</v>
      </c>
      <c r="G26" s="30" t="s">
        <v>81</v>
      </c>
      <c r="H26" s="7"/>
      <c r="I26" s="7"/>
      <c r="J26" s="50"/>
      <c r="K26" s="50"/>
      <c r="L26" s="50"/>
      <c r="M26" s="50"/>
      <c r="N26" s="7"/>
    </row>
    <row r="27" spans="1:14" ht="15" customHeight="1" x14ac:dyDescent="0.2">
      <c r="A27" s="4" t="s">
        <v>102</v>
      </c>
      <c r="B27" s="32">
        <f>B22+B26</f>
        <v>97.519000000000062</v>
      </c>
      <c r="C27" s="32">
        <f>C22+C26</f>
        <v>299.47700000000003</v>
      </c>
      <c r="D27" s="32">
        <f>D22+D26</f>
        <v>117.78300000000003</v>
      </c>
      <c r="G27" s="6" t="s">
        <v>75</v>
      </c>
      <c r="H27" s="50">
        <v>898.08199999999999</v>
      </c>
      <c r="I27" s="50">
        <v>979.35400000000004</v>
      </c>
      <c r="J27" s="50">
        <v>1735.9590000000001</v>
      </c>
      <c r="K27" s="50">
        <v>1630.8</v>
      </c>
      <c r="L27" s="50">
        <v>1701.2</v>
      </c>
      <c r="M27" s="50">
        <v>95.334999999999994</v>
      </c>
      <c r="N27" s="7">
        <v>307.72000000000003</v>
      </c>
    </row>
    <row r="28" spans="1:14" ht="15" customHeight="1" x14ac:dyDescent="0.2">
      <c r="A28" s="16" t="s">
        <v>1</v>
      </c>
      <c r="B28" s="65" t="s">
        <v>112</v>
      </c>
      <c r="C28" s="65" t="s">
        <v>112</v>
      </c>
      <c r="D28" s="65" t="s">
        <v>112</v>
      </c>
      <c r="G28" s="6" t="s">
        <v>69</v>
      </c>
      <c r="H28" s="50">
        <v>2198.5279999999998</v>
      </c>
      <c r="I28" s="50">
        <v>2521.672</v>
      </c>
      <c r="J28" s="50">
        <v>2294.9969999999998</v>
      </c>
      <c r="K28" s="50">
        <v>2599.1</v>
      </c>
      <c r="L28" s="50">
        <v>3801.8</v>
      </c>
      <c r="M28" s="50">
        <v>457.51100000000002</v>
      </c>
      <c r="N28" s="7">
        <v>593.29700000000003</v>
      </c>
    </row>
    <row r="29" spans="1:14" ht="15" customHeight="1" x14ac:dyDescent="0.2">
      <c r="A29" s="16" t="s">
        <v>2</v>
      </c>
      <c r="B29" s="65" t="s">
        <v>112</v>
      </c>
      <c r="C29" s="65" t="s">
        <v>112</v>
      </c>
      <c r="D29" s="65" t="s">
        <v>112</v>
      </c>
      <c r="G29" s="6" t="s">
        <v>114</v>
      </c>
      <c r="H29" s="50">
        <v>326.55399999999997</v>
      </c>
      <c r="I29" s="50">
        <v>13.443</v>
      </c>
      <c r="J29" s="50">
        <v>4.4459999999999997</v>
      </c>
      <c r="K29" s="50">
        <v>4.2</v>
      </c>
      <c r="L29" s="50">
        <v>17.100000000000001</v>
      </c>
      <c r="M29" s="50">
        <v>65.7</v>
      </c>
      <c r="N29" s="7">
        <v>399.37599999999998</v>
      </c>
    </row>
    <row r="30" spans="1:14" ht="15" customHeight="1" x14ac:dyDescent="0.2">
      <c r="A30" s="8" t="s">
        <v>12</v>
      </c>
      <c r="B30" s="37">
        <v>6.44</v>
      </c>
      <c r="C30" s="37">
        <v>19.489999999999998</v>
      </c>
      <c r="D30" s="37">
        <v>1.51</v>
      </c>
      <c r="G30" s="6" t="s">
        <v>84</v>
      </c>
      <c r="H30" s="50">
        <v>22.536000000000001</v>
      </c>
      <c r="I30" s="50">
        <v>114.229</v>
      </c>
      <c r="J30" s="50">
        <v>404.10199999999998</v>
      </c>
      <c r="K30" s="50">
        <v>476</v>
      </c>
      <c r="L30" s="50">
        <v>129.80000000000001</v>
      </c>
      <c r="M30" s="50">
        <v>25.744</v>
      </c>
      <c r="N30" s="7">
        <v>57.496000000000002</v>
      </c>
    </row>
    <row r="31" spans="1:14" ht="15" customHeight="1" x14ac:dyDescent="0.2">
      <c r="A31" s="16" t="s">
        <v>1</v>
      </c>
      <c r="B31" s="65" t="s">
        <v>112</v>
      </c>
      <c r="C31" s="65" t="s">
        <v>112</v>
      </c>
      <c r="D31" s="65" t="s">
        <v>112</v>
      </c>
      <c r="G31" s="6" t="s">
        <v>85</v>
      </c>
      <c r="H31" s="50">
        <v>11.904</v>
      </c>
      <c r="I31" s="50">
        <v>5.649</v>
      </c>
      <c r="J31" s="50">
        <v>4.3</v>
      </c>
      <c r="K31" s="50">
        <v>4.2</v>
      </c>
      <c r="L31" s="50">
        <v>6</v>
      </c>
      <c r="M31" s="50">
        <v>85.054000000000002</v>
      </c>
      <c r="N31" s="7">
        <v>111.66</v>
      </c>
    </row>
    <row r="32" spans="1:14" ht="15" customHeight="1" x14ac:dyDescent="0.2">
      <c r="A32" s="16" t="s">
        <v>101</v>
      </c>
      <c r="B32" s="65" t="s">
        <v>112</v>
      </c>
      <c r="C32" s="65" t="s">
        <v>112</v>
      </c>
      <c r="D32" s="65" t="s">
        <v>112</v>
      </c>
      <c r="G32" s="17" t="s">
        <v>86</v>
      </c>
      <c r="H32" s="50">
        <v>5.4480000000000004</v>
      </c>
      <c r="I32" s="50">
        <v>13.569000000000001</v>
      </c>
      <c r="J32" s="50">
        <v>36.345999999999997</v>
      </c>
      <c r="K32" s="50">
        <v>77.3</v>
      </c>
      <c r="L32" s="50">
        <v>128</v>
      </c>
      <c r="M32" s="50">
        <v>128.09399999999999</v>
      </c>
      <c r="N32" s="7">
        <v>261.20400000000001</v>
      </c>
    </row>
    <row r="33" spans="1:14" ht="15" customHeight="1" x14ac:dyDescent="0.2">
      <c r="G33" s="6" t="s">
        <v>87</v>
      </c>
      <c r="H33" s="50">
        <v>318.25099999999998</v>
      </c>
      <c r="I33" s="50">
        <v>323.673</v>
      </c>
      <c r="J33" s="50">
        <v>296.91899999999998</v>
      </c>
      <c r="K33" s="50">
        <v>332</v>
      </c>
      <c r="L33" s="50">
        <v>238.5</v>
      </c>
      <c r="M33" s="50">
        <v>118.836</v>
      </c>
      <c r="N33" s="7">
        <v>61.043999999999997</v>
      </c>
    </row>
    <row r="34" spans="1:14" ht="15" customHeight="1" x14ac:dyDescent="0.2">
      <c r="G34" s="4" t="s">
        <v>72</v>
      </c>
      <c r="H34" s="32">
        <f t="shared" ref="H34:N34" si="6">H36+H37+H38+H39+H40+H41+H8</f>
        <v>2730.8519999999999</v>
      </c>
      <c r="I34" s="32">
        <f t="shared" si="6"/>
        <v>2586.1329999999998</v>
      </c>
      <c r="J34" s="32">
        <f t="shared" si="6"/>
        <v>2291.7700000000004</v>
      </c>
      <c r="K34" s="32">
        <f t="shared" si="6"/>
        <v>3211.7999999999997</v>
      </c>
      <c r="L34" s="32">
        <f t="shared" si="6"/>
        <v>5437</v>
      </c>
      <c r="M34" s="32">
        <f t="shared" si="6"/>
        <v>510.02600000000001</v>
      </c>
      <c r="N34" s="32">
        <f t="shared" si="6"/>
        <v>724.92100000000005</v>
      </c>
    </row>
    <row r="35" spans="1:14" ht="15" customHeight="1" x14ac:dyDescent="0.2">
      <c r="A35" s="59" t="s">
        <v>13</v>
      </c>
      <c r="B35" s="60"/>
      <c r="C35" s="56"/>
      <c r="D35" s="56"/>
      <c r="G35" s="6" t="s">
        <v>115</v>
      </c>
      <c r="H35" s="7"/>
      <c r="I35" s="7"/>
      <c r="J35" s="7"/>
      <c r="K35" s="7"/>
      <c r="L35" s="7"/>
      <c r="M35" s="7">
        <v>82.599000000000004</v>
      </c>
      <c r="N35" s="7">
        <v>77.963999999999999</v>
      </c>
    </row>
    <row r="36" spans="1:14" ht="15" customHeight="1" x14ac:dyDescent="0.2">
      <c r="A36" s="3" t="s">
        <v>0</v>
      </c>
      <c r="B36" s="61" t="s">
        <v>106</v>
      </c>
      <c r="C36" s="9" t="s">
        <v>108</v>
      </c>
      <c r="G36" s="6" t="s">
        <v>92</v>
      </c>
      <c r="H36" s="50">
        <v>0</v>
      </c>
      <c r="I36" s="7">
        <v>99.965999999999994</v>
      </c>
      <c r="J36" s="54">
        <v>115.70099999999999</v>
      </c>
      <c r="K36" s="54">
        <v>131.5</v>
      </c>
      <c r="L36" s="54">
        <v>182.7</v>
      </c>
      <c r="M36" s="54">
        <v>12.23</v>
      </c>
      <c r="N36" s="7">
        <v>17.344000000000001</v>
      </c>
    </row>
    <row r="37" spans="1:14" ht="15" customHeight="1" x14ac:dyDescent="0.2">
      <c r="A37" s="8" t="s">
        <v>14</v>
      </c>
      <c r="B37" s="62">
        <v>37.262</v>
      </c>
      <c r="C37" s="32">
        <f>B42</f>
        <v>65.7</v>
      </c>
      <c r="G37" s="6" t="s">
        <v>93</v>
      </c>
      <c r="H37" s="50">
        <f>23.09+1322.4</f>
        <v>1345.49</v>
      </c>
      <c r="I37" s="7">
        <v>1673.6</v>
      </c>
      <c r="J37" s="50">
        <v>1387.16</v>
      </c>
      <c r="K37" s="50">
        <v>1386.4</v>
      </c>
      <c r="L37" s="50">
        <v>1939.9</v>
      </c>
      <c r="M37" s="50">
        <f>23.088+168.889</f>
        <v>191.977</v>
      </c>
      <c r="N37" s="67">
        <f>70.825+205.993</f>
        <v>276.81799999999998</v>
      </c>
    </row>
    <row r="38" spans="1:14" ht="15" customHeight="1" x14ac:dyDescent="0.2">
      <c r="A38" s="6" t="s">
        <v>15</v>
      </c>
      <c r="B38" s="63">
        <v>-36.308</v>
      </c>
      <c r="C38" s="7">
        <v>348.17</v>
      </c>
      <c r="G38" s="6" t="s">
        <v>64</v>
      </c>
      <c r="H38" s="50">
        <v>985.43600000000004</v>
      </c>
      <c r="I38" s="7">
        <v>543.77800000000002</v>
      </c>
      <c r="J38" s="50">
        <v>427.38299999999998</v>
      </c>
      <c r="K38" s="50">
        <v>201</v>
      </c>
      <c r="L38" s="50">
        <v>182.2</v>
      </c>
      <c r="M38" s="50">
        <v>173.27199999999999</v>
      </c>
      <c r="N38" s="7">
        <v>211.93</v>
      </c>
    </row>
    <row r="39" spans="1:14" ht="15" customHeight="1" x14ac:dyDescent="0.2">
      <c r="A39" s="6" t="s">
        <v>51</v>
      </c>
      <c r="B39" s="63">
        <v>62.136000000000003</v>
      </c>
      <c r="C39" s="7">
        <v>-482.04899999999998</v>
      </c>
      <c r="G39" s="6" t="s">
        <v>95</v>
      </c>
      <c r="H39" s="50">
        <v>70.134</v>
      </c>
      <c r="I39" s="7">
        <v>91.715999999999994</v>
      </c>
      <c r="J39" s="50">
        <v>115.718</v>
      </c>
      <c r="K39" s="50">
        <v>707.6</v>
      </c>
      <c r="L39" s="50">
        <v>933.3</v>
      </c>
      <c r="M39" s="50">
        <v>40.317</v>
      </c>
      <c r="N39" s="7">
        <v>38.555999999999997</v>
      </c>
    </row>
    <row r="40" spans="1:14" ht="15" customHeight="1" x14ac:dyDescent="0.2">
      <c r="A40" s="6" t="s">
        <v>16</v>
      </c>
      <c r="B40" s="63">
        <v>2.61</v>
      </c>
      <c r="C40" s="7">
        <v>465.16399999999999</v>
      </c>
      <c r="G40" s="6" t="s">
        <v>94</v>
      </c>
      <c r="H40" s="50">
        <v>0</v>
      </c>
      <c r="I40" s="7">
        <v>0</v>
      </c>
      <c r="J40" s="50">
        <v>6.1760000000000002</v>
      </c>
      <c r="K40" s="50">
        <v>117.7</v>
      </c>
      <c r="L40" s="50">
        <v>103.7</v>
      </c>
      <c r="M40" s="50">
        <v>4.9009999999999998</v>
      </c>
      <c r="N40" s="7">
        <v>31.606999999999999</v>
      </c>
    </row>
    <row r="41" spans="1:14" ht="15" customHeight="1" x14ac:dyDescent="0.2">
      <c r="A41" s="8" t="s">
        <v>17</v>
      </c>
      <c r="B41" s="62">
        <f>B38+B39+B40</f>
        <v>28.438000000000002</v>
      </c>
      <c r="C41" s="32">
        <f>C38+C39+C40</f>
        <v>331.28500000000003</v>
      </c>
      <c r="G41" s="6" t="s">
        <v>91</v>
      </c>
      <c r="H41" s="50">
        <v>12.391999999999999</v>
      </c>
      <c r="I41" s="7">
        <v>22.573</v>
      </c>
      <c r="J41" s="50">
        <v>8.8320000000000007</v>
      </c>
      <c r="K41" s="50">
        <v>66.599999999999994</v>
      </c>
      <c r="L41" s="50">
        <v>102.3</v>
      </c>
      <c r="M41" s="50">
        <v>4.7300000000000004</v>
      </c>
      <c r="N41" s="7">
        <v>70.701999999999998</v>
      </c>
    </row>
    <row r="42" spans="1:14" ht="15" customHeight="1" x14ac:dyDescent="0.2">
      <c r="A42" s="8" t="s">
        <v>46</v>
      </c>
      <c r="B42" s="62">
        <f>+B37+B41</f>
        <v>65.7</v>
      </c>
      <c r="C42" s="32">
        <f>+C37+C41+2.304+0.088</f>
        <v>399.37700000000001</v>
      </c>
      <c r="G42" s="4" t="s">
        <v>73</v>
      </c>
      <c r="H42" s="32">
        <f t="shared" ref="H42:N42" si="7">H44+H45+H46+H47+H7</f>
        <v>315.27</v>
      </c>
      <c r="I42" s="32">
        <f t="shared" si="7"/>
        <v>1066.579</v>
      </c>
      <c r="J42" s="32">
        <f t="shared" si="7"/>
        <v>1033.345</v>
      </c>
      <c r="K42" s="32">
        <f t="shared" si="7"/>
        <v>1080.8</v>
      </c>
      <c r="L42" s="32">
        <f t="shared" si="7"/>
        <v>1763.1999999999998</v>
      </c>
      <c r="M42" s="32">
        <f t="shared" si="7"/>
        <v>490.45</v>
      </c>
      <c r="N42" s="32">
        <f t="shared" si="7"/>
        <v>423.44099999999992</v>
      </c>
    </row>
    <row r="43" spans="1:14" ht="15" customHeight="1" x14ac:dyDescent="0.2">
      <c r="C43" s="50"/>
      <c r="E43" s="2"/>
      <c r="F43" s="2"/>
      <c r="G43" s="6" t="s">
        <v>115</v>
      </c>
      <c r="H43" s="7"/>
      <c r="I43" s="7"/>
      <c r="J43" s="7"/>
      <c r="K43" s="7"/>
      <c r="L43" s="7"/>
      <c r="M43" s="7">
        <v>0</v>
      </c>
      <c r="N43" s="7">
        <v>6.9169999999999998</v>
      </c>
    </row>
    <row r="44" spans="1:14" ht="15" customHeight="1" x14ac:dyDescent="0.2">
      <c r="A44" s="3" t="s">
        <v>18</v>
      </c>
      <c r="B44" s="61" t="s">
        <v>106</v>
      </c>
      <c r="C44" s="9" t="s">
        <v>108</v>
      </c>
      <c r="E44" s="2"/>
      <c r="F44" s="2"/>
      <c r="G44" s="6" t="s">
        <v>88</v>
      </c>
      <c r="H44" s="50">
        <v>0</v>
      </c>
      <c r="I44" s="50">
        <v>703.89</v>
      </c>
      <c r="J44" s="50">
        <v>719.53200000000004</v>
      </c>
      <c r="K44" s="50">
        <v>741.3</v>
      </c>
      <c r="L44" s="50">
        <v>1111.8</v>
      </c>
      <c r="M44" s="50">
        <v>24.497</v>
      </c>
      <c r="N44" s="7">
        <v>25.95</v>
      </c>
    </row>
    <row r="45" spans="1:14" ht="15" customHeight="1" x14ac:dyDescent="0.2">
      <c r="A45" s="4" t="s">
        <v>19</v>
      </c>
      <c r="B45" s="76">
        <f>B38</f>
        <v>-36.308</v>
      </c>
      <c r="C45" s="76">
        <f>C38</f>
        <v>348.17</v>
      </c>
      <c r="E45" s="2"/>
      <c r="F45" s="2"/>
      <c r="G45" s="6" t="s">
        <v>89</v>
      </c>
      <c r="H45" s="50">
        <v>153.25700000000001</v>
      </c>
      <c r="I45" s="50">
        <v>168.54900000000001</v>
      </c>
      <c r="J45" s="50">
        <v>186.18600000000001</v>
      </c>
      <c r="K45" s="50">
        <v>229.5</v>
      </c>
      <c r="L45" s="50">
        <v>307.89999999999998</v>
      </c>
      <c r="M45" s="50">
        <v>457.26499999999999</v>
      </c>
      <c r="N45" s="7">
        <v>374.80399999999997</v>
      </c>
    </row>
    <row r="46" spans="1:14" ht="15" customHeight="1" x14ac:dyDescent="0.2">
      <c r="A46" s="6" t="s">
        <v>20</v>
      </c>
      <c r="B46" s="78">
        <v>-2.1110000000000002</v>
      </c>
      <c r="C46" s="79">
        <v>-124.476</v>
      </c>
      <c r="E46" s="2"/>
      <c r="F46" s="2"/>
      <c r="G46" s="6" t="s">
        <v>90</v>
      </c>
      <c r="H46" s="7">
        <v>13.106999999999999</v>
      </c>
      <c r="I46" s="7">
        <v>11.715</v>
      </c>
      <c r="J46" s="7">
        <v>10.327</v>
      </c>
      <c r="K46" s="7">
        <v>26.7</v>
      </c>
      <c r="L46" s="7">
        <v>307.60000000000002</v>
      </c>
      <c r="M46" s="7">
        <v>0</v>
      </c>
      <c r="N46" s="68">
        <v>0</v>
      </c>
    </row>
    <row r="47" spans="1:14" ht="15" customHeight="1" x14ac:dyDescent="0.2">
      <c r="A47" s="4" t="s">
        <v>21</v>
      </c>
      <c r="B47" s="76">
        <f t="shared" ref="B47" si="8">SUM(B45:B46)</f>
        <v>-38.418999999999997</v>
      </c>
      <c r="C47" s="76">
        <f>SUM(C45:C46)</f>
        <v>223.69400000000002</v>
      </c>
      <c r="G47" s="6" t="s">
        <v>91</v>
      </c>
      <c r="H47" s="7">
        <v>20.306000000000001</v>
      </c>
      <c r="I47" s="7">
        <v>19.324999999999999</v>
      </c>
      <c r="J47" s="7">
        <v>0</v>
      </c>
      <c r="K47" s="7">
        <v>0</v>
      </c>
      <c r="L47" s="7">
        <v>8.9</v>
      </c>
      <c r="M47" s="7">
        <v>8.6880000000000006</v>
      </c>
      <c r="N47" s="7">
        <v>15.77</v>
      </c>
    </row>
    <row r="48" spans="1:14" ht="15" customHeight="1" x14ac:dyDescent="0.3">
      <c r="A48" s="1" t="s">
        <v>22</v>
      </c>
      <c r="C48"/>
      <c r="D48"/>
      <c r="G48" s="4" t="s">
        <v>105</v>
      </c>
      <c r="H48" s="32">
        <f t="shared" ref="H48:N48" si="9">(H25-H34)</f>
        <v>1050.451</v>
      </c>
      <c r="I48" s="32">
        <f t="shared" si="9"/>
        <v>1385.4560000000001</v>
      </c>
      <c r="J48" s="32">
        <f t="shared" si="9"/>
        <v>2485.2989999999991</v>
      </c>
      <c r="K48" s="32">
        <f t="shared" si="9"/>
        <v>1911.7999999999997</v>
      </c>
      <c r="L48" s="32">
        <f t="shared" si="9"/>
        <v>585.40000000000055</v>
      </c>
      <c r="M48" s="32">
        <f t="shared" si="9"/>
        <v>466.2480000000001</v>
      </c>
      <c r="N48" s="32">
        <f t="shared" si="9"/>
        <v>1066.8760000000002</v>
      </c>
    </row>
    <row r="49" spans="1:17" ht="15" customHeight="1" x14ac:dyDescent="0.3">
      <c r="C49"/>
      <c r="D49"/>
      <c r="G49" s="4" t="s">
        <v>54</v>
      </c>
      <c r="H49" s="32">
        <f t="shared" ref="H49:N49" si="10">H14+H25</f>
        <v>5971.5779999999995</v>
      </c>
      <c r="I49" s="32">
        <f t="shared" si="10"/>
        <v>6917.6389999999992</v>
      </c>
      <c r="J49" s="32">
        <f t="shared" si="10"/>
        <v>7338.896999999999</v>
      </c>
      <c r="K49" s="32">
        <f t="shared" si="10"/>
        <v>8261.6999999999989</v>
      </c>
      <c r="L49" s="32">
        <f t="shared" si="10"/>
        <v>10166.299999999999</v>
      </c>
      <c r="M49" s="32">
        <f t="shared" si="10"/>
        <v>1112.2510000000002</v>
      </c>
      <c r="N49" s="32">
        <f t="shared" si="10"/>
        <v>2053.9320000000002</v>
      </c>
    </row>
    <row r="50" spans="1:17" ht="15" customHeight="1" x14ac:dyDescent="0.2">
      <c r="A50" s="3" t="s">
        <v>18</v>
      </c>
      <c r="B50" s="9" t="s">
        <v>106</v>
      </c>
      <c r="C50" s="9" t="s">
        <v>108</v>
      </c>
      <c r="D50" s="9" t="s">
        <v>113</v>
      </c>
      <c r="G50" s="4" t="s">
        <v>55</v>
      </c>
      <c r="H50" s="32">
        <f t="shared" ref="H50:N50" si="11">H6+H34+H42</f>
        <v>7883.3379999999997</v>
      </c>
      <c r="I50" s="32">
        <f t="shared" si="11"/>
        <v>9104.4480000000003</v>
      </c>
      <c r="J50" s="32">
        <f t="shared" si="11"/>
        <v>9366.0159999999996</v>
      </c>
      <c r="K50" s="32">
        <f t="shared" si="11"/>
        <v>11165.199999999999</v>
      </c>
      <c r="L50" s="32">
        <f t="shared" si="11"/>
        <v>14964.2</v>
      </c>
      <c r="M50" s="32">
        <f t="shared" si="11"/>
        <v>1112.251</v>
      </c>
      <c r="N50" s="32">
        <f>N6+N34+N42</f>
        <v>2053.933</v>
      </c>
    </row>
    <row r="51" spans="1:17" ht="15" customHeight="1" x14ac:dyDescent="0.2">
      <c r="A51" s="8" t="s">
        <v>47</v>
      </c>
      <c r="B51" s="7">
        <v>15000000</v>
      </c>
      <c r="C51" s="7">
        <v>15459558</v>
      </c>
      <c r="D51" s="7">
        <v>77297790</v>
      </c>
      <c r="G51" s="8" t="s">
        <v>27</v>
      </c>
      <c r="H51" s="7"/>
      <c r="I51" s="7"/>
      <c r="J51" s="7"/>
      <c r="K51" s="7"/>
      <c r="L51" s="7"/>
    </row>
    <row r="52" spans="1:17" ht="15" customHeight="1" x14ac:dyDescent="0.2">
      <c r="A52" s="8" t="s">
        <v>100</v>
      </c>
      <c r="B52" s="32">
        <f>B51*M53/1000000</f>
        <v>1866</v>
      </c>
      <c r="C52" s="32">
        <f>C51*N53/1000000</f>
        <v>3555.6983399999999</v>
      </c>
      <c r="D52" s="69">
        <f>D51*O53/1000000</f>
        <v>21465.596282999999</v>
      </c>
      <c r="G52" s="3" t="s">
        <v>28</v>
      </c>
      <c r="H52" s="48" t="s">
        <v>60</v>
      </c>
      <c r="I52" s="49" t="s">
        <v>65</v>
      </c>
      <c r="J52" s="49" t="s">
        <v>66</v>
      </c>
      <c r="K52" s="48" t="s">
        <v>77</v>
      </c>
      <c r="L52" s="48" t="s">
        <v>78</v>
      </c>
      <c r="M52" s="48" t="s">
        <v>106</v>
      </c>
      <c r="N52" s="48" t="s">
        <v>108</v>
      </c>
      <c r="O52" s="48" t="s">
        <v>113</v>
      </c>
    </row>
    <row r="53" spans="1:17" ht="15" customHeight="1" x14ac:dyDescent="0.2">
      <c r="A53" s="8" t="s">
        <v>50</v>
      </c>
      <c r="B53" s="38">
        <f>M9</f>
        <v>82.599000000000004</v>
      </c>
      <c r="C53" s="38">
        <f>N9</f>
        <v>84.881</v>
      </c>
      <c r="D53" s="70">
        <v>84.9</v>
      </c>
      <c r="G53" s="10" t="s">
        <v>67</v>
      </c>
      <c r="H53" s="32">
        <v>364.65</v>
      </c>
      <c r="I53" s="36">
        <v>134.55000000000001</v>
      </c>
      <c r="J53" s="36">
        <v>225.25</v>
      </c>
      <c r="K53" s="36">
        <v>550.29999999999995</v>
      </c>
      <c r="L53" s="36">
        <v>623.1</v>
      </c>
      <c r="M53" s="45">
        <f>622/5</f>
        <v>124.4</v>
      </c>
      <c r="N53" s="45">
        <f>1150/5</f>
        <v>230</v>
      </c>
      <c r="O53" s="45">
        <v>277.7</v>
      </c>
    </row>
    <row r="54" spans="1:17" ht="15" customHeight="1" x14ac:dyDescent="0.2">
      <c r="A54" s="8" t="s">
        <v>48</v>
      </c>
      <c r="B54" s="38">
        <f>M29+M30</f>
        <v>91.444000000000003</v>
      </c>
      <c r="C54" s="38">
        <f>N29+N30</f>
        <v>456.87199999999996</v>
      </c>
      <c r="D54" s="70">
        <v>456.9</v>
      </c>
      <c r="G54" s="10" t="s">
        <v>29</v>
      </c>
      <c r="H54" s="36" t="e">
        <f>#REF!</f>
        <v>#REF!</v>
      </c>
      <c r="I54" s="36" t="e">
        <f>#REF!</f>
        <v>#REF!</v>
      </c>
      <c r="J54" s="36" t="e">
        <f>#REF!</f>
        <v>#REF!</v>
      </c>
      <c r="K54" s="36" t="e">
        <f>#REF!</f>
        <v>#REF!</v>
      </c>
      <c r="L54" s="36" t="e">
        <f>#REF!</f>
        <v>#REF!</v>
      </c>
      <c r="M54" s="45">
        <f>B30</f>
        <v>6.44</v>
      </c>
      <c r="N54" s="45">
        <f>C30</f>
        <v>19.489999999999998</v>
      </c>
      <c r="O54" s="45">
        <f>N54+D30-0.8</f>
        <v>20.2</v>
      </c>
      <c r="P54" s="1" t="s">
        <v>116</v>
      </c>
      <c r="Q54" s="72"/>
    </row>
    <row r="55" spans="1:17" ht="15" customHeight="1" x14ac:dyDescent="0.2">
      <c r="A55" s="8" t="s">
        <v>49</v>
      </c>
      <c r="B55" s="32">
        <f>B52+B53-B54</f>
        <v>1857.155</v>
      </c>
      <c r="C55" s="32">
        <f>C52+C53-C54</f>
        <v>3183.7073399999999</v>
      </c>
      <c r="D55" s="69">
        <f>D52+D53-D54</f>
        <v>21093.596282999999</v>
      </c>
      <c r="G55" s="10" t="s">
        <v>30</v>
      </c>
      <c r="H55" s="36" t="e">
        <f>(H6*1000000)/#REF!</f>
        <v>#REF!</v>
      </c>
      <c r="I55" s="36" t="e">
        <f>(I6*1000000)/#REF!</f>
        <v>#REF!</v>
      </c>
      <c r="J55" s="36" t="e">
        <f>(J6*1000000)/#REF!</f>
        <v>#REF!</v>
      </c>
      <c r="K55" s="36" t="e">
        <f>(K6*1000000)/#REF!</f>
        <v>#REF!</v>
      </c>
      <c r="L55" s="36" t="e">
        <f>(L6*1000000)/#REF!</f>
        <v>#REF!</v>
      </c>
      <c r="M55" s="44">
        <f>(M6*1000000)/B51</f>
        <v>7.4516666666666671</v>
      </c>
      <c r="N55" s="44">
        <f>(N6*1000000)/C51</f>
        <v>58.576771729178802</v>
      </c>
      <c r="O55" s="44" t="s">
        <v>112</v>
      </c>
    </row>
    <row r="56" spans="1:17" ht="15" customHeight="1" x14ac:dyDescent="0.2">
      <c r="G56" s="10" t="s">
        <v>31</v>
      </c>
      <c r="H56" s="39">
        <v>0</v>
      </c>
      <c r="I56" s="39">
        <v>5</v>
      </c>
      <c r="J56" s="39">
        <v>15</v>
      </c>
      <c r="K56" s="39">
        <v>20</v>
      </c>
      <c r="L56" s="39">
        <v>0</v>
      </c>
      <c r="M56" s="44">
        <v>20</v>
      </c>
      <c r="N56" s="44">
        <v>20</v>
      </c>
      <c r="O56" s="44" t="s">
        <v>112</v>
      </c>
    </row>
    <row r="57" spans="1:17" ht="15" customHeight="1" x14ac:dyDescent="0.2">
      <c r="B57" s="72"/>
      <c r="C57" s="72"/>
      <c r="D57" s="72"/>
      <c r="E57" s="77"/>
      <c r="G57" s="10" t="s">
        <v>32</v>
      </c>
      <c r="H57" s="39" t="e">
        <f t="shared" ref="H57:L57" si="12">(H53/H54)</f>
        <v>#REF!</v>
      </c>
      <c r="I57" s="39" t="e">
        <f t="shared" si="12"/>
        <v>#REF!</v>
      </c>
      <c r="J57" s="39" t="e">
        <f t="shared" si="12"/>
        <v>#REF!</v>
      </c>
      <c r="K57" s="39" t="e">
        <f t="shared" si="12"/>
        <v>#REF!</v>
      </c>
      <c r="L57" s="39" t="e">
        <f t="shared" si="12"/>
        <v>#REF!</v>
      </c>
      <c r="M57" s="44">
        <f>(M53/M54)</f>
        <v>19.316770186335404</v>
      </c>
      <c r="N57" s="44">
        <f>(N53/N54)</f>
        <v>11.800923550538739</v>
      </c>
      <c r="O57" s="44">
        <f>O53/O54</f>
        <v>13.747524752475247</v>
      </c>
    </row>
    <row r="58" spans="1:17" ht="15" customHeight="1" x14ac:dyDescent="0.2">
      <c r="G58" s="10" t="s">
        <v>33</v>
      </c>
      <c r="H58" s="39" t="e">
        <f>(H53/H55)</f>
        <v>#REF!</v>
      </c>
      <c r="I58" s="39" t="e">
        <f t="shared" ref="I58:L58" si="13">(I53/I55)</f>
        <v>#REF!</v>
      </c>
      <c r="J58" s="39" t="e">
        <f>(J53/J55)</f>
        <v>#REF!</v>
      </c>
      <c r="K58" s="39" t="e">
        <f t="shared" si="13"/>
        <v>#REF!</v>
      </c>
      <c r="L58" s="39" t="e">
        <f t="shared" si="13"/>
        <v>#REF!</v>
      </c>
      <c r="M58" s="44">
        <f>(M53/M55)</f>
        <v>16.69425184522478</v>
      </c>
      <c r="N58" s="44">
        <f>(N53/N55)</f>
        <v>3.9264710773644476</v>
      </c>
      <c r="O58" s="44" t="s">
        <v>112</v>
      </c>
    </row>
    <row r="59" spans="1:17" ht="15" customHeight="1" x14ac:dyDescent="0.2">
      <c r="G59" s="10" t="s">
        <v>34</v>
      </c>
      <c r="H59" s="39" t="e">
        <f>#REF!/#REF!</f>
        <v>#REF!</v>
      </c>
      <c r="I59" s="39" t="e">
        <f>#REF!/#REF!</f>
        <v>#REF!</v>
      </c>
      <c r="J59" s="39" t="e">
        <f>#REF!/#REF!</f>
        <v>#REF!</v>
      </c>
      <c r="K59" s="39" t="e">
        <f>#REF!/2062</f>
        <v>#REF!</v>
      </c>
      <c r="L59" s="39" t="e">
        <f>#REF!/2062</f>
        <v>#REF!</v>
      </c>
      <c r="M59" s="46">
        <f>B55/B11</f>
        <v>12.972401894357438</v>
      </c>
      <c r="N59" s="46">
        <f>C55/C11</f>
        <v>7.017780466998631</v>
      </c>
      <c r="O59" s="44" t="s">
        <v>112</v>
      </c>
    </row>
    <row r="60" spans="1:17" ht="15" customHeight="1" x14ac:dyDescent="0.3">
      <c r="D60"/>
      <c r="G60" s="11" t="s">
        <v>35</v>
      </c>
      <c r="H60" s="40" t="e">
        <f>#REF!/H6</f>
        <v>#REF!</v>
      </c>
      <c r="I60" s="40" t="e">
        <f>#REF!/I6</f>
        <v>#REF!</v>
      </c>
      <c r="J60" s="40" t="e">
        <f>#REF!/J6</f>
        <v>#REF!</v>
      </c>
      <c r="K60" s="40" t="e">
        <f>#REF!/K6</f>
        <v>#REF!</v>
      </c>
      <c r="L60" s="40" t="e">
        <f>#REF!/L6</f>
        <v>#REF!</v>
      </c>
      <c r="M60" s="40">
        <f>B22/M6</f>
        <v>0.86458510400357913</v>
      </c>
      <c r="N60" s="40">
        <f>C22/N6</f>
        <v>0.32410379749351514</v>
      </c>
      <c r="O60" s="44" t="s">
        <v>112</v>
      </c>
    </row>
    <row r="61" spans="1:17" ht="15" customHeight="1" x14ac:dyDescent="0.3">
      <c r="D61"/>
      <c r="G61" s="11" t="s">
        <v>36</v>
      </c>
      <c r="H61" s="40" t="e">
        <f>(#REF!-#REF!)/H10</f>
        <v>#REF!</v>
      </c>
      <c r="I61" s="40" t="e">
        <f>(#REF!-#REF!)/I6</f>
        <v>#REF!</v>
      </c>
      <c r="J61" s="40" t="e">
        <f>(#REF!-#REF!)/J6</f>
        <v>#REF!</v>
      </c>
      <c r="K61" s="40" t="e">
        <f>(#REF!-#REF!)/K6</f>
        <v>#REF!</v>
      </c>
      <c r="L61" s="40" t="e">
        <f>(#REF!-#REF!)/L6</f>
        <v>#REF!</v>
      </c>
      <c r="M61" s="40">
        <f>(B19+B17)/M11</f>
        <v>0.24657229440823614</v>
      </c>
      <c r="N61" s="40">
        <f>(C19+C17)/N11</f>
        <v>0.33836589764870262</v>
      </c>
      <c r="O61" s="44" t="s">
        <v>112</v>
      </c>
    </row>
    <row r="62" spans="1:17" ht="15" customHeight="1" x14ac:dyDescent="0.3">
      <c r="A62" s="13"/>
      <c r="D62"/>
      <c r="G62" s="10" t="s">
        <v>37</v>
      </c>
      <c r="H62" s="39">
        <f t="shared" ref="H62:N62" si="14">(H9/H6)</f>
        <v>9.2201795412898649E-2</v>
      </c>
      <c r="I62" s="39">
        <f t="shared" si="14"/>
        <v>5.8256672736904359E-2</v>
      </c>
      <c r="J62" s="39">
        <f t="shared" si="14"/>
        <v>5.7623854454823882E-2</v>
      </c>
      <c r="K62" s="39">
        <f t="shared" si="14"/>
        <v>9.9569304193463895E-2</v>
      </c>
      <c r="L62" s="39">
        <f t="shared" si="14"/>
        <v>0.2601622874806801</v>
      </c>
      <c r="M62" s="39">
        <f>(M9/M6)</f>
        <v>0.73897562066651756</v>
      </c>
      <c r="N62" s="39">
        <f t="shared" si="14"/>
        <v>9.3732021012156969E-2</v>
      </c>
      <c r="O62" s="44" t="s">
        <v>112</v>
      </c>
    </row>
    <row r="63" spans="1:17" ht="15" customHeight="1" x14ac:dyDescent="0.3">
      <c r="D63"/>
      <c r="G63" s="10" t="s">
        <v>38</v>
      </c>
      <c r="H63" s="39">
        <f>(H9-H29-H30)/H6</f>
        <v>2.0034251106421548E-2</v>
      </c>
      <c r="I63" s="39">
        <f>(I9-I29)/I6</f>
        <v>5.5790852675184577E-2</v>
      </c>
      <c r="J63" s="39">
        <f>(J9-J29)/J6</f>
        <v>5.6887871527773755E-2</v>
      </c>
      <c r="K63" s="39">
        <f>(K9-K29)/K6</f>
        <v>9.895818176527077E-2</v>
      </c>
      <c r="L63" s="39">
        <f>(L9-L29)/L6</f>
        <v>0.25795981452859351</v>
      </c>
      <c r="M63" s="39">
        <f>(M9-M29-M30)/M6</f>
        <v>-7.9132185193469012E-2</v>
      </c>
      <c r="N63" s="39">
        <f>(N9-N29-N30)/N6</f>
        <v>-0.41078060141060169</v>
      </c>
      <c r="O63" s="44" t="s">
        <v>112</v>
      </c>
    </row>
    <row r="64" spans="1:17" ht="15" customHeight="1" x14ac:dyDescent="0.3">
      <c r="D64"/>
      <c r="G64" s="12" t="s">
        <v>39</v>
      </c>
      <c r="H64" s="41">
        <f t="shared" ref="H64:K64" si="15">(H56/H53)</f>
        <v>0</v>
      </c>
      <c r="I64" s="41">
        <f t="shared" si="15"/>
        <v>3.7160906726124113E-2</v>
      </c>
      <c r="J64" s="41">
        <f t="shared" si="15"/>
        <v>6.6592674805771371E-2</v>
      </c>
      <c r="K64" s="41">
        <f t="shared" si="15"/>
        <v>3.6343812465927681E-2</v>
      </c>
      <c r="L64" s="41">
        <f>(L56/L53)</f>
        <v>0</v>
      </c>
      <c r="M64" s="41">
        <f>(M56/M53)</f>
        <v>0.16077170418006431</v>
      </c>
      <c r="N64" s="41">
        <f>(N56/N53)</f>
        <v>8.6956521739130432E-2</v>
      </c>
      <c r="O64" s="44" t="s">
        <v>112</v>
      </c>
    </row>
    <row r="65" spans="1:15" ht="15" customHeight="1" x14ac:dyDescent="0.3">
      <c r="D65"/>
      <c r="G65" s="10" t="s">
        <v>40</v>
      </c>
      <c r="H65" s="42" t="e">
        <f>(AVERAGE(H28,G28))/(#REF!)*365</f>
        <v>#REF!</v>
      </c>
      <c r="I65" s="42" t="e">
        <f>(AVERAGE(I28,H28))/(#REF!)*365</f>
        <v>#REF!</v>
      </c>
      <c r="J65" s="42" t="e">
        <f>(AVERAGE(J28,I28))/(#REF!)*365</f>
        <v>#REF!</v>
      </c>
      <c r="K65" s="42" t="e">
        <f>(AVERAGE(K28,J28))/(#REF!)*365</f>
        <v>#REF!</v>
      </c>
      <c r="L65" s="42" t="e">
        <f>(AVERAGE(L28,K28))/(#REF!)*365</f>
        <v>#REF!</v>
      </c>
      <c r="M65" s="71" t="s">
        <v>112</v>
      </c>
      <c r="N65" s="42">
        <f>(AVERAGE(N28,M28))/(C4)*365</f>
        <v>87.77667469036885</v>
      </c>
      <c r="O65" s="44" t="s">
        <v>112</v>
      </c>
    </row>
    <row r="66" spans="1:15" ht="15" customHeight="1" x14ac:dyDescent="0.3">
      <c r="D66"/>
      <c r="G66" s="10" t="s">
        <v>41</v>
      </c>
      <c r="H66" s="42" t="e">
        <f>AVERAGE(G37,H37)/SUM(#REF!)*365</f>
        <v>#REF!</v>
      </c>
      <c r="I66" s="42" t="e">
        <f>AVERAGE(H37,I37)/SUM(#REF!)*365</f>
        <v>#REF!</v>
      </c>
      <c r="J66" s="42" t="e">
        <f>AVERAGE(I37,J37)/SUM(#REF!)*365</f>
        <v>#REF!</v>
      </c>
      <c r="K66" s="42" t="e">
        <f>AVERAGE(J37,K37)/SUM(#REF!)*365</f>
        <v>#REF!</v>
      </c>
      <c r="L66" s="42" t="e">
        <f>AVERAGE(K37,L37)/SUM(#REF!)*365</f>
        <v>#REF!</v>
      </c>
      <c r="M66" s="71" t="s">
        <v>112</v>
      </c>
      <c r="N66" s="42">
        <f>AVERAGE(M37,N37)/SUM(C8:C8)*365</f>
        <v>65.016652164496392</v>
      </c>
      <c r="O66" s="44" t="s">
        <v>112</v>
      </c>
    </row>
    <row r="67" spans="1:15" ht="14.4" x14ac:dyDescent="0.3">
      <c r="D67"/>
      <c r="G67" s="8" t="s">
        <v>42</v>
      </c>
      <c r="H67" s="42" t="e">
        <f>AVERAGE(#REF!,#REF!)/SUM(#REF!)*365</f>
        <v>#REF!</v>
      </c>
      <c r="I67" s="42" t="e">
        <f>AVERAGE(#REF!,#REF!)/SUM(#REF!)*365</f>
        <v>#REF!</v>
      </c>
      <c r="J67" s="42" t="e">
        <f>AVERAGE(#REF!,#REF!)/SUM(#REF!)*365</f>
        <v>#REF!</v>
      </c>
      <c r="K67" s="42" t="e">
        <f>AVERAGE(#REF!,#REF!)/SUM(#REF!)*365</f>
        <v>#REF!</v>
      </c>
      <c r="L67" s="42" t="e">
        <f>AVERAGE(#REF!,#REF!)/SUM(#REF!)*365</f>
        <v>#REF!</v>
      </c>
      <c r="M67" s="71" t="s">
        <v>112</v>
      </c>
      <c r="N67" s="71" t="s">
        <v>112</v>
      </c>
      <c r="O67" s="44" t="s">
        <v>112</v>
      </c>
    </row>
    <row r="68" spans="1:15" ht="14.4" x14ac:dyDescent="0.3">
      <c r="D68"/>
      <c r="G68" s="10" t="s">
        <v>61</v>
      </c>
      <c r="H68" s="42" t="e">
        <f t="shared" ref="H68" si="16">H65-H66+H67</f>
        <v>#REF!</v>
      </c>
      <c r="I68" s="42" t="e">
        <f t="shared" ref="I68:M68" si="17">I67+I65-I66</f>
        <v>#REF!</v>
      </c>
      <c r="J68" s="42" t="e">
        <f t="shared" si="17"/>
        <v>#REF!</v>
      </c>
      <c r="K68" s="42" t="e">
        <f t="shared" si="17"/>
        <v>#REF!</v>
      </c>
      <c r="L68" s="42" t="e">
        <f t="shared" si="17"/>
        <v>#REF!</v>
      </c>
      <c r="M68" s="71" t="s">
        <v>112</v>
      </c>
      <c r="N68" s="71" t="s">
        <v>112</v>
      </c>
      <c r="O68" s="44" t="s">
        <v>112</v>
      </c>
    </row>
    <row r="69" spans="1:15" s="13" customFormat="1" ht="15" customHeight="1" x14ac:dyDescent="0.3">
      <c r="A69" s="1"/>
      <c r="B69" s="1"/>
      <c r="C69" s="1"/>
      <c r="D69"/>
      <c r="G69" s="8" t="s">
        <v>63</v>
      </c>
      <c r="H69" s="42" t="e">
        <f>AVERAGE(H48:H48)/#REF!*365</f>
        <v>#REF!</v>
      </c>
      <c r="I69" s="42" t="e">
        <f>AVERAGE(H48:I48)/#REF!*365</f>
        <v>#REF!</v>
      </c>
      <c r="J69" s="42" t="e">
        <f>AVERAGE(I48:J48)/#REF!*365</f>
        <v>#REF!</v>
      </c>
      <c r="K69" s="42" t="e">
        <f>AVERAGE(J48:K48)/#REF!*365</f>
        <v>#REF!</v>
      </c>
      <c r="L69" s="42" t="e">
        <f>AVERAGE(K48:L48)/#REF!*365</f>
        <v>#REF!</v>
      </c>
      <c r="M69" s="71" t="s">
        <v>112</v>
      </c>
      <c r="N69" s="42">
        <f>AVERAGE(M48:N48)/C4*365</f>
        <v>128.06576140265116</v>
      </c>
      <c r="O69" s="44" t="s">
        <v>112</v>
      </c>
    </row>
    <row r="70" spans="1:15" ht="15" customHeight="1" x14ac:dyDescent="0.2">
      <c r="G70" s="8" t="s">
        <v>53</v>
      </c>
      <c r="H70" s="40" t="e">
        <f>#REF!/H9</f>
        <v>#REF!</v>
      </c>
      <c r="I70" s="40" t="e">
        <f>#REF!/I9</f>
        <v>#REF!</v>
      </c>
      <c r="J70" s="40" t="e">
        <f>#REF!/J9</f>
        <v>#REF!</v>
      </c>
      <c r="K70" s="40" t="e">
        <f>#REF!/K9</f>
        <v>#REF!</v>
      </c>
      <c r="L70" s="40" t="e">
        <f>#REF!/L9</f>
        <v>#REF!</v>
      </c>
      <c r="M70" s="40">
        <f>B17/M9</f>
        <v>9.6829259434133577E-2</v>
      </c>
      <c r="N70" s="40">
        <f>C17/N9</f>
        <v>0.47942413496542219</v>
      </c>
      <c r="O70" s="44" t="s">
        <v>112</v>
      </c>
    </row>
    <row r="71" spans="1:15" ht="15" customHeight="1" x14ac:dyDescent="0.2">
      <c r="G71" s="8" t="s">
        <v>62</v>
      </c>
      <c r="H71" s="43" t="e">
        <f>(#REF!-#REF!)/#REF!</f>
        <v>#REF!</v>
      </c>
      <c r="I71" s="43" t="e">
        <f>(#REF!-#REF!)/#REF!</f>
        <v>#REF!</v>
      </c>
      <c r="J71" s="43" t="e">
        <f>(#REF!-#REF!)/#REF!</f>
        <v>#REF!</v>
      </c>
      <c r="K71" s="43" t="e">
        <f>(#REF!-#REF!)/#REF!</f>
        <v>#REF!</v>
      </c>
      <c r="L71" s="43" t="e">
        <f>(#REF!-#REF!)/#REF!</f>
        <v>#REF!</v>
      </c>
      <c r="M71" s="43">
        <f>(B11-B16)/B17</f>
        <v>17.110152538134539</v>
      </c>
      <c r="N71" s="43">
        <f>(C11-C16)/C17</f>
        <v>10.61768319654003</v>
      </c>
      <c r="O71" s="44" t="s">
        <v>112</v>
      </c>
    </row>
    <row r="72" spans="1:15" ht="15" customHeight="1" x14ac:dyDescent="0.3">
      <c r="G72" s="74"/>
      <c r="H72" s="74"/>
      <c r="I72" s="74"/>
      <c r="J72" s="74"/>
      <c r="K72" s="74"/>
      <c r="L72" s="74"/>
      <c r="M72"/>
    </row>
    <row r="73" spans="1:15" ht="15" customHeight="1" x14ac:dyDescent="0.2">
      <c r="G73" s="1" t="s">
        <v>109</v>
      </c>
      <c r="I73" s="14"/>
      <c r="N73" s="64">
        <f>C4/AVERAGE(M15:N15)</f>
        <v>232.72017469109502</v>
      </c>
    </row>
    <row r="74" spans="1:15" ht="15" customHeight="1" x14ac:dyDescent="0.2">
      <c r="I74" s="14"/>
    </row>
    <row r="75" spans="1:15" ht="15" customHeight="1" x14ac:dyDescent="0.2">
      <c r="I75" s="14"/>
    </row>
    <row r="76" spans="1:15" ht="15" customHeight="1" x14ac:dyDescent="0.2">
      <c r="I76" s="14"/>
    </row>
    <row r="77" spans="1:15" ht="15" customHeight="1" x14ac:dyDescent="0.2">
      <c r="I77" s="14"/>
    </row>
    <row r="78" spans="1:15" ht="15" customHeight="1" x14ac:dyDescent="0.2">
      <c r="I78" s="14"/>
    </row>
  </sheetData>
  <mergeCells count="3">
    <mergeCell ref="A1:N1"/>
    <mergeCell ref="G72:L72"/>
    <mergeCell ref="G2:M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H66:L66 N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ColWidth="8.88671875" defaultRowHeight="14.4" x14ac:dyDescent="0.3"/>
  <cols>
    <col min="6" max="6" width="17" customWidth="1"/>
    <col min="7" max="7" width="12.88671875" customWidth="1"/>
    <col min="8" max="8" width="11.6640625" customWidth="1"/>
    <col min="9" max="9" width="13" customWidth="1"/>
  </cols>
  <sheetData>
    <row r="6" spans="6:9" x14ac:dyDescent="0.3">
      <c r="F6" s="21"/>
      <c r="G6" s="22"/>
      <c r="H6" s="23"/>
      <c r="I6" s="23"/>
    </row>
    <row r="7" spans="6:9" x14ac:dyDescent="0.3">
      <c r="F7" s="24"/>
      <c r="G7" s="25"/>
      <c r="H7" s="26"/>
      <c r="I7" s="26"/>
    </row>
    <row r="8" spans="6:9" x14ac:dyDescent="0.3">
      <c r="F8" s="24"/>
      <c r="G8" s="25"/>
      <c r="H8" s="26"/>
      <c r="I8" s="26"/>
    </row>
    <row r="9" spans="6:9" x14ac:dyDescent="0.3">
      <c r="F9" s="24"/>
      <c r="G9" s="25"/>
      <c r="H9" s="26"/>
      <c r="I9" s="26"/>
    </row>
    <row r="10" spans="6:9" x14ac:dyDescent="0.3">
      <c r="F10" s="24"/>
      <c r="G10" s="25"/>
      <c r="H10" s="26"/>
      <c r="I10" s="26"/>
    </row>
    <row r="11" spans="6:9" x14ac:dyDescent="0.3">
      <c r="F11" s="24"/>
      <c r="G11" s="25"/>
      <c r="H11" s="27"/>
      <c r="I11" s="26"/>
    </row>
    <row r="12" spans="6:9" x14ac:dyDescent="0.3">
      <c r="F12" s="24"/>
      <c r="G12" s="25"/>
      <c r="H12" s="27"/>
      <c r="I12" s="26"/>
    </row>
    <row r="13" spans="6:9" x14ac:dyDescent="0.3">
      <c r="F13" s="28"/>
      <c r="G13" s="29"/>
      <c r="H13" s="26"/>
      <c r="I13" s="26"/>
    </row>
    <row r="15" spans="6:9" ht="15" thickBot="1" x14ac:dyDescent="0.35">
      <c r="F15" s="18"/>
      <c r="G15" s="19"/>
      <c r="H15" s="20"/>
      <c r="I1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2026-08-24T10:48:50Z</dcterms:modified>
</cp:coreProperties>
</file>