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Harshit\Arihant Foundation\Summary Sheet\Q1-FY27\"/>
    </mc:Choice>
  </mc:AlternateContent>
  <xr:revisionPtr revIDLastSave="0" documentId="13_ncr:1_{B335E3E7-8755-43CB-9C1E-05E632DF7B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8" i="1" l="1"/>
  <c r="M78" i="1"/>
  <c r="N78" i="1"/>
  <c r="K78" i="1"/>
  <c r="L77" i="1"/>
  <c r="M77" i="1"/>
  <c r="N77" i="1"/>
  <c r="K77" i="1"/>
  <c r="L76" i="1"/>
  <c r="M76" i="1"/>
  <c r="N76" i="1"/>
  <c r="K76" i="1"/>
  <c r="L75" i="1"/>
  <c r="M75" i="1"/>
  <c r="N75" i="1"/>
  <c r="K75" i="1"/>
  <c r="L74" i="1"/>
  <c r="M74" i="1"/>
  <c r="N74" i="1"/>
  <c r="K74" i="1"/>
  <c r="L73" i="1"/>
  <c r="M73" i="1"/>
  <c r="N73" i="1"/>
  <c r="K73" i="1"/>
  <c r="L72" i="1"/>
  <c r="M72" i="1"/>
  <c r="N72" i="1"/>
  <c r="K72" i="1"/>
  <c r="D55" i="1"/>
  <c r="E55" i="1"/>
  <c r="F55" i="1"/>
  <c r="C55" i="1"/>
  <c r="L63" i="1"/>
  <c r="L65" i="1" s="1"/>
  <c r="M63" i="1"/>
  <c r="M65" i="1" s="1"/>
  <c r="N63" i="1"/>
  <c r="O63" i="1" s="1"/>
  <c r="O65" i="1" s="1"/>
  <c r="K63" i="1"/>
  <c r="K65" i="1" s="1"/>
  <c r="L41" i="1"/>
  <c r="L29" i="1"/>
  <c r="L15" i="1"/>
  <c r="L11" i="1"/>
  <c r="D54" i="1" s="1"/>
  <c r="L7" i="1"/>
  <c r="K11" i="1"/>
  <c r="C54" i="1" s="1"/>
  <c r="K51" i="1"/>
  <c r="K41" i="1"/>
  <c r="K29" i="1"/>
  <c r="K57" i="1" s="1"/>
  <c r="K15" i="1"/>
  <c r="C52" i="1"/>
  <c r="C53" i="1" s="1"/>
  <c r="C56" i="1" s="1"/>
  <c r="D52" i="1"/>
  <c r="D53" i="1" s="1"/>
  <c r="D56" i="1" s="1"/>
  <c r="E52" i="1"/>
  <c r="E53" i="1" s="1"/>
  <c r="F52" i="1"/>
  <c r="F53" i="1" s="1"/>
  <c r="G52" i="1"/>
  <c r="G53" i="1" s="1"/>
  <c r="E48" i="1"/>
  <c r="F48" i="1"/>
  <c r="D47" i="1"/>
  <c r="D49" i="1" s="1"/>
  <c r="E47" i="1"/>
  <c r="F47" i="1"/>
  <c r="C47" i="1"/>
  <c r="C49" i="1" s="1"/>
  <c r="F43" i="1"/>
  <c r="E43" i="1"/>
  <c r="C13" i="1"/>
  <c r="C14" i="1" s="1"/>
  <c r="D26" i="1"/>
  <c r="B13" i="1"/>
  <c r="B14" i="1" s="1"/>
  <c r="B23" i="1" s="1"/>
  <c r="D13" i="1"/>
  <c r="D14" i="1" s="1"/>
  <c r="D5" i="1"/>
  <c r="E26" i="1"/>
  <c r="E13" i="1"/>
  <c r="E14" i="1" s="1"/>
  <c r="E5" i="1"/>
  <c r="F13" i="1"/>
  <c r="F14" i="1" s="1"/>
  <c r="F23" i="1" s="1"/>
  <c r="F26" i="1"/>
  <c r="F5" i="1"/>
  <c r="G13" i="1"/>
  <c r="G14" i="1" s="1"/>
  <c r="G23" i="1" s="1"/>
  <c r="N15" i="1"/>
  <c r="M15" i="1"/>
  <c r="M29" i="1"/>
  <c r="N29" i="1"/>
  <c r="N11" i="1"/>
  <c r="F54" i="1" s="1"/>
  <c r="M11" i="1"/>
  <c r="E54" i="1" s="1"/>
  <c r="M71" i="1" s="1"/>
  <c r="N7" i="1"/>
  <c r="M7" i="1"/>
  <c r="N51" i="1"/>
  <c r="N41" i="1"/>
  <c r="G26" i="1"/>
  <c r="B53" i="1"/>
  <c r="B55" i="1"/>
  <c r="J73" i="1"/>
  <c r="M51" i="1"/>
  <c r="J51" i="1"/>
  <c r="K7" i="1"/>
  <c r="K64" i="1" s="1"/>
  <c r="K66" i="1" s="1"/>
  <c r="J7" i="1"/>
  <c r="B43" i="1"/>
  <c r="B44" i="1" s="1"/>
  <c r="B26" i="1"/>
  <c r="K12" i="1" l="1"/>
  <c r="F49" i="1"/>
  <c r="L67" i="1"/>
  <c r="K67" i="1"/>
  <c r="N65" i="1"/>
  <c r="N71" i="1"/>
  <c r="N70" i="1"/>
  <c r="F56" i="1"/>
  <c r="N67" i="1" s="1"/>
  <c r="K71" i="1"/>
  <c r="K70" i="1"/>
  <c r="L71" i="1"/>
  <c r="L70" i="1"/>
  <c r="E56" i="1"/>
  <c r="M67" i="1" s="1"/>
  <c r="M70" i="1"/>
  <c r="K58" i="1"/>
  <c r="E49" i="1"/>
  <c r="E17" i="1"/>
  <c r="E23" i="1"/>
  <c r="E29" i="1" s="1"/>
  <c r="D17" i="1"/>
  <c r="D23" i="1"/>
  <c r="D28" i="1" s="1"/>
  <c r="C23" i="1"/>
  <c r="K69" i="1" s="1"/>
  <c r="D15" i="1"/>
  <c r="E15" i="1"/>
  <c r="F6" i="1"/>
  <c r="F28" i="1"/>
  <c r="F15" i="1"/>
  <c r="F17" i="1"/>
  <c r="G5" i="1"/>
  <c r="G17" i="1" s="1"/>
  <c r="J77" i="1"/>
  <c r="E30" i="1" l="1"/>
  <c r="M68" i="1"/>
  <c r="E28" i="1"/>
  <c r="D29" i="1"/>
  <c r="F29" i="1"/>
  <c r="G29" i="1"/>
  <c r="G30" i="1" s="1"/>
  <c r="G28" i="1"/>
  <c r="B29" i="1"/>
  <c r="B28" i="1"/>
  <c r="J74" i="1"/>
  <c r="J41" i="1"/>
  <c r="J29" i="1"/>
  <c r="J72" i="1"/>
  <c r="J63" i="1"/>
  <c r="F31" i="1" l="1"/>
  <c r="N68" i="1"/>
  <c r="D30" i="1"/>
  <c r="L68" i="1"/>
  <c r="F30" i="1"/>
  <c r="J75" i="1"/>
  <c r="D43" i="1"/>
  <c r="C43" i="1"/>
  <c r="L57" i="1" l="1"/>
  <c r="L12" i="1" s="1"/>
  <c r="L69" i="1" s="1"/>
  <c r="C44" i="1"/>
  <c r="J11" i="1"/>
  <c r="B49" i="1"/>
  <c r="D39" i="1" l="1"/>
  <c r="D44" i="1" s="1"/>
  <c r="J12" i="1"/>
  <c r="B54" i="1"/>
  <c r="B56" i="1" s="1"/>
  <c r="J76" i="1"/>
  <c r="L51" i="1"/>
  <c r="J15" i="1"/>
  <c r="M41" i="1"/>
  <c r="N57" i="1"/>
  <c r="N12" i="1" s="1"/>
  <c r="N69" i="1" s="1"/>
  <c r="E39" i="1" l="1"/>
  <c r="E44" i="1" s="1"/>
  <c r="F39" i="1" s="1"/>
  <c r="F44" i="1" s="1"/>
  <c r="N64" i="1"/>
  <c r="N66" i="1" s="1"/>
  <c r="N58" i="1"/>
  <c r="M64" i="1"/>
  <c r="M66" i="1" s="1"/>
  <c r="J70" i="1"/>
  <c r="J64" i="1"/>
  <c r="J66" i="1" s="1"/>
  <c r="J71" i="1"/>
  <c r="L64" i="1"/>
  <c r="L66" i="1" s="1"/>
  <c r="L58" i="1"/>
  <c r="J58" i="1"/>
  <c r="M58" i="1"/>
  <c r="M57" i="1"/>
  <c r="M12" i="1" s="1"/>
  <c r="M69" i="1" s="1"/>
  <c r="J57" i="1"/>
  <c r="B5" i="1" l="1"/>
  <c r="C5" i="1"/>
  <c r="E31" i="1"/>
  <c r="C26" i="1"/>
  <c r="E6" i="1"/>
  <c r="D6" i="1" l="1"/>
  <c r="C6" i="1"/>
  <c r="C17" i="1"/>
  <c r="C28" i="1"/>
  <c r="C29" i="1"/>
  <c r="K68" i="1" s="1"/>
  <c r="F7" i="1"/>
  <c r="B17" i="1"/>
  <c r="C30" i="1" l="1"/>
  <c r="B30" i="1" l="1"/>
  <c r="F16" i="1" l="1"/>
  <c r="D31" i="1"/>
  <c r="F32" i="1" l="1"/>
</calcChain>
</file>

<file path=xl/sharedStrings.xml><?xml version="1.0" encoding="utf-8"?>
<sst xmlns="http://schemas.openxmlformats.org/spreadsheetml/2006/main" count="199" uniqueCount="124">
  <si>
    <t>Income Statement</t>
  </si>
  <si>
    <t>Balance Sheet</t>
  </si>
  <si>
    <t>FY22</t>
  </si>
  <si>
    <t>FY23</t>
  </si>
  <si>
    <t>FY 24</t>
  </si>
  <si>
    <t>FY24</t>
  </si>
  <si>
    <t>Revenue from Operations</t>
  </si>
  <si>
    <t>Equity Share Capital</t>
  </si>
  <si>
    <t>Other Income</t>
  </si>
  <si>
    <t>Networth/Shareholders Fund/ Book Value</t>
  </si>
  <si>
    <t>Growth (%)</t>
  </si>
  <si>
    <t>CAGR (%) - 3 Years</t>
  </si>
  <si>
    <t>Long Term Debt</t>
  </si>
  <si>
    <t>Short Term Debt</t>
  </si>
  <si>
    <t>Loans</t>
  </si>
  <si>
    <t>Capital Employed</t>
  </si>
  <si>
    <t>NON- CURRENT ASSETS</t>
  </si>
  <si>
    <t>Property, Palnt and Equipment</t>
  </si>
  <si>
    <t>EBITDA</t>
  </si>
  <si>
    <t>EBITDA margin (%)</t>
  </si>
  <si>
    <t>Intangible Assets Under Development</t>
  </si>
  <si>
    <t>Depreciation and amortisation cost</t>
  </si>
  <si>
    <t>Finance Cost</t>
  </si>
  <si>
    <t>Financial Assets</t>
  </si>
  <si>
    <t>PBT</t>
  </si>
  <si>
    <t>c) Other Financial Assets</t>
  </si>
  <si>
    <t>Current Tax</t>
  </si>
  <si>
    <t>Deferred Tax</t>
  </si>
  <si>
    <t>Total Tax Expense</t>
  </si>
  <si>
    <t>Effective tax rate (%)</t>
  </si>
  <si>
    <t>CURRENT ASSETS, LOANS &amp; ADVANCES</t>
  </si>
  <si>
    <t>Inventories</t>
  </si>
  <si>
    <t>PAT margin (%)</t>
  </si>
  <si>
    <t>Other Current Assets</t>
  </si>
  <si>
    <t>Profit for the year</t>
  </si>
  <si>
    <t>CURRENT LIABILITIES &amp; PROVISIONS</t>
  </si>
  <si>
    <t>Financial Liabilities</t>
  </si>
  <si>
    <t>(i) Lease liabilities</t>
  </si>
  <si>
    <t>EPS</t>
  </si>
  <si>
    <t>Other current liabilities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</si>
  <si>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</si>
  <si>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</si>
  <si>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</si>
  <si>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</si>
  <si>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</si>
  <si>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</si>
  <si>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TOTAL ASSETS</t>
  </si>
  <si>
    <t xml:space="preserve">Operating Cash Inflow </t>
  </si>
  <si>
    <t>TOTAL LIABILITIES</t>
  </si>
  <si>
    <t>Capital Expenditure</t>
  </si>
  <si>
    <t>Key ratios</t>
  </si>
  <si>
    <t xml:space="preserve"> </t>
  </si>
  <si>
    <t>CMP(Rs)</t>
  </si>
  <si>
    <t>No. of Shares</t>
  </si>
  <si>
    <t>Market Cap</t>
  </si>
  <si>
    <t>BVPS (Rs)</t>
  </si>
  <si>
    <t>Total Debt</t>
  </si>
  <si>
    <t>Cash</t>
  </si>
  <si>
    <t>P/E (x)</t>
  </si>
  <si>
    <t>EV</t>
  </si>
  <si>
    <t>P/BV (x)</t>
  </si>
  <si>
    <t>EV/EBIDTA (x)</t>
  </si>
  <si>
    <t>RoE (%)</t>
  </si>
  <si>
    <t>RoCE (%)</t>
  </si>
  <si>
    <t>Gross D/E(x)</t>
  </si>
  <si>
    <t>Net D/E (x)</t>
  </si>
  <si>
    <t>Debtor Days</t>
  </si>
  <si>
    <t>Creditor Days</t>
  </si>
  <si>
    <t>Inventory Days</t>
  </si>
  <si>
    <t>Cash Conversion cycle</t>
  </si>
  <si>
    <t>Interest Cost</t>
  </si>
  <si>
    <t>Fixed Assets Turnover Ratio</t>
  </si>
  <si>
    <t>Interest coverage ratio</t>
  </si>
  <si>
    <t>Y/E, Mar (Rs. Mn)</t>
  </si>
  <si>
    <t>FY 25</t>
  </si>
  <si>
    <t>FY25</t>
  </si>
  <si>
    <t>FY26</t>
  </si>
  <si>
    <t>Total Revenue from Operations</t>
  </si>
  <si>
    <t>Changes in Inventories</t>
  </si>
  <si>
    <t>Employee Benefits Expense</t>
  </si>
  <si>
    <t>Other Expenses</t>
  </si>
  <si>
    <t>Excp Item</t>
  </si>
  <si>
    <t>Diluted Earnings Per Share</t>
  </si>
  <si>
    <t>-</t>
  </si>
  <si>
    <t>Deffered Tax Assets (Net)</t>
  </si>
  <si>
    <t>Goodwill</t>
  </si>
  <si>
    <t>Other Intangible assets</t>
  </si>
  <si>
    <t>a) Investment Others</t>
  </si>
  <si>
    <t>Current tax assets (net)</t>
  </si>
  <si>
    <t>(i) Borrowings</t>
  </si>
  <si>
    <t>(iii) Trade Payables</t>
  </si>
  <si>
    <t xml:space="preserve">(vi) Other financial liabilities </t>
  </si>
  <si>
    <t>Current Provisions</t>
  </si>
  <si>
    <t>Other Equity</t>
  </si>
  <si>
    <t>Non-Controlling Interest</t>
  </si>
  <si>
    <t>Non-current liabilities</t>
  </si>
  <si>
    <t>Borrowings</t>
  </si>
  <si>
    <t>FCFF</t>
  </si>
  <si>
    <t>CASH FLOW STATEMENT (INR Mn)</t>
  </si>
  <si>
    <t>Free Cash Flow (INR MN)</t>
  </si>
  <si>
    <t>IN INR MN</t>
  </si>
  <si>
    <t xml:space="preserve">EPS (Rs) </t>
  </si>
  <si>
    <t>NA</t>
  </si>
  <si>
    <t>Construction and project expenses</t>
  </si>
  <si>
    <t>Expenses</t>
  </si>
  <si>
    <t xml:space="preserve">Total Expense </t>
  </si>
  <si>
    <t>Share of profit/(loss) from equity accounted investment</t>
  </si>
  <si>
    <t xml:space="preserve">b) Trades Receivables </t>
  </si>
  <si>
    <t xml:space="preserve">c) Loans </t>
  </si>
  <si>
    <t>Provisions</t>
  </si>
  <si>
    <t>Arihant Foundation &amp; Housing Ltd. (Consolidated)</t>
  </si>
  <si>
    <t xml:space="preserve">Leased Assets </t>
  </si>
  <si>
    <t xml:space="preserve">b) Current Tax Liability </t>
  </si>
  <si>
    <t xml:space="preserve">Lease Liabilities </t>
  </si>
  <si>
    <t>Intangible Assets</t>
  </si>
  <si>
    <t>b) Trade Receviables</t>
  </si>
  <si>
    <t>c) Cash and Cash Equivalent</t>
  </si>
  <si>
    <t>d) Other Bank Balance</t>
  </si>
  <si>
    <t>e) Loans</t>
  </si>
  <si>
    <t>f) Other Current Financial Assets</t>
  </si>
  <si>
    <t>a) Investments</t>
  </si>
  <si>
    <t>Other Non Current Asset</t>
  </si>
  <si>
    <t>Q1-FY27</t>
  </si>
  <si>
    <t>Other Non Current Financial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</si>
</sst>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(* #,##0.00_);_(* \(#,##0.00\);_(* &quot;-&quot;??_);_(@_)"/>
    <numFmt numFmtId="165" formatCode="0.0"/>
    <numFmt numFmtId="166" formatCode="_ * #,##0.0_ ;_ * \-#,##0.0_ ;_ * &quot;-&quot;??_ ;_ @_ "/>
    <numFmt numFmtId="167" formatCode="_ * #,##0_ ;_ * \-#,##0_ ;_ * &quot;-&quot;??_ ;_ @_ "/>
    <numFmt numFmtId="168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2" fillId="0" borderId="0" xfId="0" applyFont="1"/>
    <xf numFmtId="0" fontId="2" fillId="0" borderId="2" xfId="0" applyFont="1" applyBorder="1"/>
    <xf numFmtId="0" fontId="0" fillId="3" borderId="0" xfId="0" applyFill="1"/>
    <xf numFmtId="0" fontId="7" fillId="0" borderId="0" xfId="0" applyFont="1" applyAlignment="1">
      <alignment horizontal="center"/>
    </xf>
    <xf numFmtId="1" fontId="0" fillId="0" borderId="2" xfId="0" applyNumberFormat="1" applyBorder="1"/>
    <xf numFmtId="10" fontId="0" fillId="0" borderId="0" xfId="0" applyNumberFormat="1"/>
    <xf numFmtId="0" fontId="0" fillId="0" borderId="2" xfId="0" applyBorder="1"/>
    <xf numFmtId="0" fontId="2" fillId="5" borderId="2" xfId="0" applyFont="1" applyFill="1" applyBorder="1"/>
    <xf numFmtId="167" fontId="2" fillId="5" borderId="2" xfId="0" applyNumberFormat="1" applyFont="1" applyFill="1" applyBorder="1"/>
    <xf numFmtId="164" fontId="0" fillId="0" borderId="0" xfId="0" applyNumberFormat="1"/>
    <xf numFmtId="0" fontId="8" fillId="4" borderId="2" xfId="0" applyFont="1" applyFill="1" applyBorder="1"/>
    <xf numFmtId="10" fontId="8" fillId="4" borderId="2" xfId="0" applyNumberFormat="1" applyFont="1" applyFill="1" applyBorder="1" applyAlignment="1">
      <alignment horizontal="center"/>
    </xf>
    <xf numFmtId="167" fontId="2" fillId="0" borderId="2" xfId="1" applyNumberFormat="1" applyFont="1" applyBorder="1"/>
    <xf numFmtId="167" fontId="0" fillId="0" borderId="2" xfId="0" applyNumberFormat="1" applyBorder="1"/>
    <xf numFmtId="167" fontId="2" fillId="0" borderId="2" xfId="0" applyNumberFormat="1" applyFont="1" applyBorder="1"/>
    <xf numFmtId="167" fontId="0" fillId="0" borderId="2" xfId="1" applyNumberFormat="1" applyFont="1" applyBorder="1"/>
    <xf numFmtId="0" fontId="2" fillId="4" borderId="2" xfId="0" applyFont="1" applyFill="1" applyBorder="1"/>
    <xf numFmtId="10" fontId="2" fillId="5" borderId="2" xfId="0" applyNumberFormat="1" applyFont="1" applyFill="1" applyBorder="1"/>
    <xf numFmtId="1" fontId="2" fillId="0" borderId="2" xfId="0" applyNumberFormat="1" applyFont="1" applyBorder="1"/>
    <xf numFmtId="10" fontId="8" fillId="5" borderId="2" xfId="0" applyNumberFormat="1" applyFont="1" applyFill="1" applyBorder="1"/>
    <xf numFmtId="165" fontId="0" fillId="0" borderId="2" xfId="0" applyNumberFormat="1" applyBorder="1"/>
    <xf numFmtId="0" fontId="0" fillId="0" borderId="5" xfId="0" applyBorder="1"/>
    <xf numFmtId="0" fontId="2" fillId="0" borderId="0" xfId="0" applyFont="1" applyAlignment="1">
      <alignment horizontal="center"/>
    </xf>
    <xf numFmtId="166" fontId="2" fillId="0" borderId="0" xfId="0" applyNumberFormat="1" applyFont="1"/>
    <xf numFmtId="166" fontId="0" fillId="0" borderId="0" xfId="0" applyNumberFormat="1"/>
    <xf numFmtId="43" fontId="2" fillId="0" borderId="0" xfId="0" applyNumberFormat="1" applyFont="1"/>
    <xf numFmtId="10" fontId="8" fillId="0" borderId="0" xfId="0" applyNumberFormat="1" applyFont="1"/>
    <xf numFmtId="3" fontId="10" fillId="0" borderId="0" xfId="0" applyNumberFormat="1" applyFont="1"/>
    <xf numFmtId="0" fontId="5" fillId="0" borderId="0" xfId="0" applyFont="1"/>
    <xf numFmtId="0" fontId="9" fillId="0" borderId="0" xfId="0" applyFont="1"/>
    <xf numFmtId="167" fontId="2" fillId="4" borderId="2" xfId="0" applyNumberFormat="1" applyFont="1" applyFill="1" applyBorder="1"/>
    <xf numFmtId="4" fontId="0" fillId="0" borderId="0" xfId="0" applyNumberFormat="1"/>
    <xf numFmtId="43" fontId="2" fillId="0" borderId="2" xfId="0" applyNumberFormat="1" applyFont="1" applyBorder="1"/>
    <xf numFmtId="43" fontId="0" fillId="0" borderId="2" xfId="1" applyFont="1" applyBorder="1" applyAlignment="1">
      <alignment horizontal="center"/>
    </xf>
    <xf numFmtId="167" fontId="0" fillId="0" borderId="0" xfId="0" applyNumberFormat="1"/>
    <xf numFmtId="2" fontId="2" fillId="5" borderId="2" xfId="0" applyNumberFormat="1" applyFont="1" applyFill="1" applyBorder="1"/>
    <xf numFmtId="166" fontId="0" fillId="0" borderId="2" xfId="0" applyNumberFormat="1" applyBorder="1"/>
    <xf numFmtId="167" fontId="0" fillId="0" borderId="2" xfId="0" applyNumberFormat="1" applyBorder="1" applyAlignment="1">
      <alignment horizontal="center"/>
    </xf>
    <xf numFmtId="167" fontId="2" fillId="6" borderId="2" xfId="0" applyNumberFormat="1" applyFont="1" applyFill="1" applyBorder="1"/>
    <xf numFmtId="167" fontId="2" fillId="0" borderId="0" xfId="0" applyNumberFormat="1" applyFont="1"/>
    <xf numFmtId="10" fontId="0" fillId="0" borderId="0" xfId="2" applyNumberFormat="1" applyFont="1"/>
    <xf numFmtId="43" fontId="2" fillId="4" borderId="2" xfId="0" applyNumberFormat="1" applyFont="1" applyFill="1" applyBorder="1"/>
    <xf numFmtId="43" fontId="2" fillId="5" borderId="2" xfId="0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0" fontId="6" fillId="0" borderId="0" xfId="0" applyFont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0" fontId="0" fillId="5" borderId="2" xfId="0" applyNumberFormat="1" applyFont="1" applyFill="1" applyBorder="1"/>
    <xf numFmtId="166" fontId="0" fillId="0" borderId="2" xfId="0" applyNumberFormat="1" applyBorder="1" applyAlignment="1">
      <alignment horizontal="right"/>
    </xf>
    <xf numFmtId="168" fontId="2" fillId="5" borderId="2" xfId="0" applyNumberFormat="1" applyFont="1" applyFill="1" applyBorder="1" applyAlignment="1">
      <alignment horizontal="right"/>
    </xf>
    <xf numFmtId="168" fontId="0" fillId="5" borderId="2" xfId="0" applyNumberFormat="1" applyFont="1" applyFill="1" applyBorder="1" applyAlignment="1">
      <alignment horizontal="right"/>
    </xf>
    <xf numFmtId="168" fontId="8" fillId="4" borderId="2" xfId="0" applyNumberFormat="1" applyFont="1" applyFill="1" applyBorder="1" applyAlignment="1">
      <alignment horizontal="right"/>
    </xf>
    <xf numFmtId="168" fontId="8" fillId="4" borderId="2" xfId="2" applyNumberFormat="1" applyFont="1" applyFill="1" applyBorder="1" applyAlignment="1">
      <alignment horizontal="right"/>
    </xf>
    <xf numFmtId="166" fontId="2" fillId="5" borderId="2" xfId="0" applyNumberFormat="1" applyFont="1" applyFill="1" applyBorder="1" applyAlignment="1">
      <alignment horizontal="right"/>
    </xf>
    <xf numFmtId="167" fontId="2" fillId="0" borderId="2" xfId="1" applyNumberFormat="1" applyFont="1" applyBorder="1" applyAlignment="1">
      <alignment horizontal="right"/>
    </xf>
    <xf numFmtId="166" fontId="2" fillId="0" borderId="2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10" fontId="8" fillId="5" borderId="2" xfId="0" applyNumberFormat="1" applyFont="1" applyFill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0" xfId="0" applyBorder="1"/>
    <xf numFmtId="0" fontId="2" fillId="5" borderId="2" xfId="0" applyFont="1" applyFill="1" applyBorder="1" applyAlignment="1">
      <alignment horizontal="center"/>
    </xf>
    <xf numFmtId="43" fontId="2" fillId="5" borderId="2" xfId="0" applyNumberFormat="1" applyFont="1" applyFill="1" applyBorder="1" applyAlignment="1">
      <alignment horizontal="center"/>
    </xf>
    <xf numFmtId="3" fontId="0" fillId="0" borderId="2" xfId="0" applyNumberFormat="1" applyBorder="1"/>
    <xf numFmtId="166" fontId="2" fillId="4" borderId="2" xfId="0" applyNumberFormat="1" applyFont="1" applyFill="1" applyBorder="1"/>
    <xf numFmtId="0" fontId="7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166" fontId="0" fillId="0" borderId="2" xfId="0" applyNumberFormat="1" applyFill="1" applyBorder="1" applyAlignment="1">
      <alignment horizontal="right"/>
    </xf>
    <xf numFmtId="166" fontId="2" fillId="0" borderId="2" xfId="0" applyNumberFormat="1" applyFont="1" applyFill="1" applyBorder="1" applyAlignment="1">
      <alignment horizontal="right"/>
    </xf>
    <xf numFmtId="165" fontId="2" fillId="0" borderId="2" xfId="0" applyNumberFormat="1" applyFont="1" applyFill="1" applyBorder="1" applyAlignment="1">
      <alignment horizontal="right"/>
    </xf>
    <xf numFmtId="0" fontId="0" fillId="0" borderId="2" xfId="0" applyFill="1" applyBorder="1" applyAlignment="1">
      <alignment horizontal="right"/>
    </xf>
    <xf numFmtId="0" fontId="0" fillId="0" borderId="7" xfId="0" applyBorder="1"/>
    <xf numFmtId="43" fontId="2" fillId="0" borderId="2" xfId="0" applyNumberFormat="1" applyFont="1" applyBorder="1" applyAlignment="1">
      <alignment horizontal="center"/>
    </xf>
    <xf numFmtId="0" fontId="0" fillId="4" borderId="2" xfId="0" applyFill="1" applyBorder="1"/>
    <xf numFmtId="167" fontId="0" fillId="4" borderId="2" xfId="0" applyNumberFormat="1" applyFill="1" applyBorder="1"/>
    <xf numFmtId="166" fontId="6" fillId="0" borderId="2" xfId="0" applyNumberFormat="1" applyFont="1" applyBorder="1"/>
    <xf numFmtId="167" fontId="9" fillId="4" borderId="2" xfId="0" applyNumberFormat="1" applyFont="1" applyFill="1" applyBorder="1"/>
    <xf numFmtId="167" fontId="6" fillId="4" borderId="2" xfId="0" applyNumberFormat="1" applyFont="1" applyFill="1" applyBorder="1"/>
    <xf numFmtId="166" fontId="0" fillId="4" borderId="2" xfId="0" applyNumberFormat="1" applyFill="1" applyBorder="1"/>
    <xf numFmtId="166" fontId="9" fillId="4" borderId="2" xfId="0" applyNumberFormat="1" applyFont="1" applyFill="1" applyBorder="1"/>
    <xf numFmtId="166" fontId="6" fillId="4" borderId="2" xfId="0" applyNumberFormat="1" applyFont="1" applyFill="1" applyBorder="1"/>
    <xf numFmtId="166" fontId="0" fillId="0" borderId="2" xfId="1" applyNumberFormat="1" applyFont="1" applyBorder="1" applyAlignment="1"/>
    <xf numFmtId="166" fontId="2" fillId="4" borderId="2" xfId="1" applyNumberFormat="1" applyFont="1" applyFill="1" applyBorder="1" applyAlignment="1"/>
    <xf numFmtId="166" fontId="4" fillId="0" borderId="2" xfId="1" applyNumberFormat="1" applyFont="1" applyBorder="1" applyAlignment="1"/>
    <xf numFmtId="166" fontId="2" fillId="6" borderId="2" xfId="1" applyNumberFormat="1" applyFont="1" applyFill="1" applyBorder="1" applyAlignment="1"/>
    <xf numFmtId="166" fontId="2" fillId="5" borderId="2" xfId="1" applyNumberFormat="1" applyFont="1" applyFill="1" applyBorder="1" applyAlignment="1"/>
    <xf numFmtId="166" fontId="0" fillId="6" borderId="2" xfId="1" applyNumberFormat="1" applyFont="1" applyFill="1" applyBorder="1" applyAlignment="1"/>
    <xf numFmtId="166" fontId="2" fillId="0" borderId="2" xfId="1" applyNumberFormat="1" applyFont="1" applyBorder="1" applyAlignment="1">
      <alignment horizontal="right"/>
    </xf>
    <xf numFmtId="0" fontId="7" fillId="0" borderId="2" xfId="0" applyFont="1" applyBorder="1" applyAlignment="1">
      <alignment horizontal="center"/>
    </xf>
    <xf numFmtId="0" fontId="0" fillId="0" borderId="2" xfId="0" applyBorder="1" applyAlignment="1"/>
    <xf numFmtId="0" fontId="6" fillId="0" borderId="2" xfId="0" applyFont="1" applyBorder="1" applyAlignment="1"/>
    <xf numFmtId="0" fontId="2" fillId="4" borderId="2" xfId="0" applyFont="1" applyFill="1" applyBorder="1" applyAlignment="1"/>
    <xf numFmtId="0" fontId="2" fillId="0" borderId="2" xfId="0" applyFont="1" applyBorder="1" applyAlignment="1"/>
    <xf numFmtId="0" fontId="12" fillId="0" borderId="2" xfId="0" applyFont="1" applyBorder="1" applyAlignment="1"/>
    <xf numFmtId="166" fontId="0" fillId="0" borderId="2" xfId="0" applyNumberFormat="1" applyBorder="1" applyAlignment="1"/>
    <xf numFmtId="0" fontId="2" fillId="6" borderId="2" xfId="0" applyFont="1" applyFill="1" applyBorder="1" applyAlignment="1"/>
    <xf numFmtId="0" fontId="11" fillId="5" borderId="2" xfId="0" applyFont="1" applyFill="1" applyBorder="1" applyAlignment="1">
      <alignment vertical="center"/>
    </xf>
    <xf numFmtId="0" fontId="9" fillId="0" borderId="2" xfId="0" applyFont="1" applyBorder="1" applyAlignment="1">
      <alignment horizontal="center"/>
    </xf>
    <xf numFmtId="0" fontId="0" fillId="7" borderId="2" xfId="0" applyFill="1" applyBorder="1"/>
    <xf numFmtId="165" fontId="6" fillId="0" borderId="2" xfId="0" applyNumberFormat="1" applyFont="1" applyBorder="1"/>
    <xf numFmtId="43" fontId="6" fillId="6" borderId="2" xfId="0" applyNumberFormat="1" applyFont="1" applyFill="1" applyBorder="1" applyAlignment="1">
      <alignment horizontal="center"/>
    </xf>
    <xf numFmtId="167" fontId="6" fillId="6" borderId="2" xfId="0" applyNumberFormat="1" applyFont="1" applyFill="1" applyBorder="1"/>
    <xf numFmtId="10" fontId="6" fillId="6" borderId="2" xfId="0" applyNumberFormat="1" applyFont="1" applyFill="1" applyBorder="1"/>
    <xf numFmtId="2" fontId="6" fillId="6" borderId="2" xfId="0" applyNumberFormat="1" applyFont="1" applyFill="1" applyBorder="1"/>
    <xf numFmtId="1" fontId="6" fillId="6" borderId="2" xfId="0" applyNumberFormat="1" applyFont="1" applyFill="1" applyBorder="1"/>
    <xf numFmtId="0" fontId="6" fillId="0" borderId="2" xfId="0" applyFont="1" applyBorder="1"/>
    <xf numFmtId="166" fontId="6" fillId="4" borderId="2" xfId="0" applyNumberFormat="1" applyFont="1" applyFill="1" applyBorder="1" applyAlignment="1">
      <alignment horizontal="right"/>
    </xf>
    <xf numFmtId="165" fontId="0" fillId="7" borderId="2" xfId="0" applyNumberFormat="1" applyFill="1" applyBorder="1"/>
    <xf numFmtId="165" fontId="6" fillId="6" borderId="2" xfId="0" applyNumberFormat="1" applyFont="1" applyFill="1" applyBorder="1"/>
    <xf numFmtId="165" fontId="6" fillId="6" borderId="2" xfId="1" applyNumberFormat="1" applyFont="1" applyFill="1" applyBorder="1"/>
    <xf numFmtId="165" fontId="0" fillId="0" borderId="2" xfId="0" applyNumberFormat="1" applyBorder="1" applyAlignment="1">
      <alignment horizontal="right"/>
    </xf>
    <xf numFmtId="165" fontId="6" fillId="5" borderId="2" xfId="0" applyNumberFormat="1" applyFont="1" applyFill="1" applyBorder="1"/>
    <xf numFmtId="165" fontId="6" fillId="4" borderId="2" xfId="1" applyNumberFormat="1" applyFont="1" applyFill="1" applyBorder="1"/>
    <xf numFmtId="165" fontId="0" fillId="5" borderId="2" xfId="0" applyNumberFormat="1" applyFill="1" applyBorder="1" applyAlignment="1">
      <alignment horizontal="right"/>
    </xf>
    <xf numFmtId="43" fontId="6" fillId="4" borderId="2" xfId="0" applyNumberFormat="1" applyFont="1" applyFill="1" applyBorder="1" applyAlignment="1">
      <alignment horizontal="center"/>
    </xf>
    <xf numFmtId="168" fontId="6" fillId="5" borderId="2" xfId="0" applyNumberFormat="1" applyFont="1" applyFill="1" applyBorder="1"/>
    <xf numFmtId="168" fontId="6" fillId="4" borderId="2" xfId="2" applyNumberFormat="1" applyFont="1" applyFill="1" applyBorder="1"/>
    <xf numFmtId="2" fontId="6" fillId="4" borderId="2" xfId="0" applyNumberFormat="1" applyFont="1" applyFill="1" applyBorder="1"/>
    <xf numFmtId="165" fontId="6" fillId="4" borderId="2" xfId="0" applyNumberFormat="1" applyFont="1" applyFill="1" applyBorder="1"/>
    <xf numFmtId="0" fontId="6" fillId="5" borderId="2" xfId="0" applyFont="1" applyFill="1" applyBorder="1"/>
    <xf numFmtId="43" fontId="6" fillId="4" borderId="2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"/>
  <sheetViews>
    <sheetView tabSelected="1" zoomScale="102" zoomScaleNormal="102" workbookViewId="0">
      <selection activeCell="I47" sqref="I47"/>
    </sheetView>
  </sheetViews>
  <sheetFormatPr defaultColWidth="14.44140625" defaultRowHeight="14.4" x14ac:dyDescent="0.3"/>
  <cols>
    <col min="1" max="1" width="68.33203125" bestFit="1" customWidth="1"/>
    <col min="2" max="2" width="12.33203125" hidden="1" customWidth="1"/>
    <col min="3" max="3" width="12.109375" customWidth="1"/>
    <col min="4" max="4" width="12.88671875" customWidth="1"/>
    <col min="5" max="7" width="12" customWidth="1"/>
    <col min="8" max="8" width="14.88671875" bestFit="1" customWidth="1"/>
    <col min="9" max="9" width="66.6640625" bestFit="1" customWidth="1"/>
    <col min="10" max="10" width="12" hidden="1" customWidth="1"/>
    <col min="11" max="11" width="12.5546875" bestFit="1" customWidth="1"/>
    <col min="12" max="13" width="12.44140625" bestFit="1" customWidth="1"/>
    <col min="15" max="15" width="16.33203125" customWidth="1"/>
  </cols>
  <sheetData>
    <row r="1" spans="1:14" ht="15" customHeight="1" x14ac:dyDescent="0.3">
      <c r="A1" s="44" t="s">
        <v>110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4" ht="14.25" customHeight="1" x14ac:dyDescent="0.3">
      <c r="A2" s="66" t="s">
        <v>0</v>
      </c>
      <c r="B2" s="46"/>
      <c r="C2" s="46"/>
      <c r="D2" s="46"/>
      <c r="E2" s="46"/>
      <c r="F2" s="46"/>
      <c r="G2" s="47"/>
      <c r="H2" s="4"/>
      <c r="I2" s="90" t="s">
        <v>1</v>
      </c>
      <c r="J2" s="90"/>
      <c r="K2" s="90"/>
      <c r="L2" s="90"/>
      <c r="M2" s="90"/>
      <c r="N2" s="90"/>
    </row>
    <row r="3" spans="1:14" ht="12" customHeight="1" x14ac:dyDescent="0.3">
      <c r="A3" s="2" t="s">
        <v>73</v>
      </c>
      <c r="B3" s="67" t="s">
        <v>2</v>
      </c>
      <c r="C3" s="68" t="s">
        <v>3</v>
      </c>
      <c r="D3" s="68" t="s">
        <v>4</v>
      </c>
      <c r="E3" s="68" t="s">
        <v>74</v>
      </c>
      <c r="F3" s="68" t="s">
        <v>76</v>
      </c>
      <c r="G3" s="68" t="s">
        <v>122</v>
      </c>
      <c r="I3" s="2" t="s">
        <v>73</v>
      </c>
      <c r="J3" s="68" t="s">
        <v>2</v>
      </c>
      <c r="K3" s="89" t="s">
        <v>3</v>
      </c>
      <c r="L3" s="89" t="s">
        <v>5</v>
      </c>
      <c r="M3" s="89" t="s">
        <v>75</v>
      </c>
      <c r="N3" s="89" t="s">
        <v>76</v>
      </c>
    </row>
    <row r="4" spans="1:14" ht="12" customHeight="1" x14ac:dyDescent="0.3">
      <c r="A4" s="2" t="s">
        <v>6</v>
      </c>
      <c r="B4" s="5">
        <v>827.95699999999999</v>
      </c>
      <c r="C4" s="49">
        <v>642.66800000000001</v>
      </c>
      <c r="D4" s="49">
        <v>1240.8209999999999</v>
      </c>
      <c r="E4" s="69">
        <v>2064.3589999999999</v>
      </c>
      <c r="F4" s="49">
        <v>4203.2</v>
      </c>
      <c r="G4" s="49">
        <v>1342.4</v>
      </c>
      <c r="I4" s="91" t="s">
        <v>7</v>
      </c>
      <c r="J4" s="16">
        <v>86</v>
      </c>
      <c r="K4" s="83">
        <v>86</v>
      </c>
      <c r="L4" s="83">
        <v>86</v>
      </c>
      <c r="M4" s="83">
        <v>99.656000000000006</v>
      </c>
      <c r="N4" s="83">
        <v>99.7</v>
      </c>
    </row>
    <row r="5" spans="1:14" ht="12" customHeight="1" x14ac:dyDescent="0.3">
      <c r="A5" s="8" t="s">
        <v>77</v>
      </c>
      <c r="B5" s="9">
        <f>SUM(B4:B4)</f>
        <v>827.95699999999999</v>
      </c>
      <c r="C5" s="54">
        <f>SUM(C4:C4)</f>
        <v>642.66800000000001</v>
      </c>
      <c r="D5" s="54">
        <f>SUM(D4:D4)</f>
        <v>1240.8209999999999</v>
      </c>
      <c r="E5" s="54">
        <f>SUM(E4:E4)</f>
        <v>2064.3589999999999</v>
      </c>
      <c r="F5" s="54">
        <f>SUM(F4:F4)</f>
        <v>4203.2</v>
      </c>
      <c r="G5" s="54">
        <f>SUM(G4:G4)</f>
        <v>1342.4</v>
      </c>
      <c r="I5" s="91" t="s">
        <v>93</v>
      </c>
      <c r="J5" s="16">
        <v>1087.038</v>
      </c>
      <c r="K5" s="83">
        <v>1693.0709999999999</v>
      </c>
      <c r="L5" s="83">
        <v>1828.91</v>
      </c>
      <c r="M5" s="83">
        <v>3009.8229999999999</v>
      </c>
      <c r="N5" s="83">
        <v>3614</v>
      </c>
    </row>
    <row r="6" spans="1:14" ht="12" customHeight="1" x14ac:dyDescent="0.3">
      <c r="A6" s="11" t="s">
        <v>10</v>
      </c>
      <c r="B6" s="12" t="s">
        <v>83</v>
      </c>
      <c r="C6" s="53">
        <f>+C5/B5-1</f>
        <v>-0.22379060748323887</v>
      </c>
      <c r="D6" s="53">
        <f>+D5/C5-1</f>
        <v>0.93073406486708521</v>
      </c>
      <c r="E6" s="53">
        <f>+E5/D5-1</f>
        <v>0.66370411203549917</v>
      </c>
      <c r="F6" s="53">
        <f t="shared" ref="F6" si="0">+F5/E5-1</f>
        <v>1.036079964773569</v>
      </c>
      <c r="G6" s="53" t="s">
        <v>83</v>
      </c>
      <c r="I6" s="92" t="s">
        <v>94</v>
      </c>
      <c r="J6" s="34">
        <v>0</v>
      </c>
      <c r="K6" s="83">
        <v>0</v>
      </c>
      <c r="L6" s="83">
        <v>0</v>
      </c>
      <c r="M6" s="83">
        <v>0</v>
      </c>
      <c r="N6" s="83">
        <v>0</v>
      </c>
    </row>
    <row r="7" spans="1:14" ht="12" customHeight="1" x14ac:dyDescent="0.3">
      <c r="A7" s="11" t="s">
        <v>11</v>
      </c>
      <c r="B7" s="12" t="s">
        <v>83</v>
      </c>
      <c r="C7" s="52" t="s">
        <v>83</v>
      </c>
      <c r="D7" s="52" t="s">
        <v>83</v>
      </c>
      <c r="E7" s="53" t="s">
        <v>83</v>
      </c>
      <c r="F7" s="53">
        <f>(F5/B5)^(1/3)-1</f>
        <v>0.71866311993538301</v>
      </c>
      <c r="G7" s="53" t="s">
        <v>83</v>
      </c>
      <c r="H7" s="41"/>
      <c r="I7" s="93" t="s">
        <v>9</v>
      </c>
      <c r="J7" s="31">
        <f>SUM(J4:J6)</f>
        <v>1173.038</v>
      </c>
      <c r="K7" s="84">
        <f>SUM(K4:K6)</f>
        <v>1779.0709999999999</v>
      </c>
      <c r="L7" s="84">
        <f>SUM(L4:L6)</f>
        <v>1914.91</v>
      </c>
      <c r="M7" s="84">
        <f>SUM(M4:M6)</f>
        <v>3109.4789999999998</v>
      </c>
      <c r="N7" s="84">
        <f>SUM(N4:N6)</f>
        <v>3713.7</v>
      </c>
    </row>
    <row r="8" spans="1:14" ht="12" customHeight="1" x14ac:dyDescent="0.3">
      <c r="A8" s="2" t="s">
        <v>104</v>
      </c>
      <c r="B8" s="13"/>
      <c r="C8" s="55"/>
      <c r="D8" s="55"/>
      <c r="E8" s="55"/>
      <c r="F8" s="55"/>
      <c r="G8" s="55"/>
      <c r="I8" s="91" t="s">
        <v>12</v>
      </c>
      <c r="J8" s="16">
        <v>1080</v>
      </c>
      <c r="K8" s="83">
        <v>1360</v>
      </c>
      <c r="L8" s="83">
        <v>1113.1659999999999</v>
      </c>
      <c r="M8" s="83">
        <v>1200</v>
      </c>
      <c r="N8" s="83">
        <v>3420</v>
      </c>
    </row>
    <row r="9" spans="1:14" ht="12" customHeight="1" x14ac:dyDescent="0.3">
      <c r="A9" s="7" t="s">
        <v>103</v>
      </c>
      <c r="B9" s="14">
        <v>529.5</v>
      </c>
      <c r="C9" s="49">
        <v>743.15599999999995</v>
      </c>
      <c r="D9" s="49">
        <v>680.61699999999996</v>
      </c>
      <c r="E9" s="69">
        <v>1720.626</v>
      </c>
      <c r="F9" s="49">
        <v>3682.4</v>
      </c>
      <c r="G9" s="49">
        <v>534.9</v>
      </c>
      <c r="I9" s="91" t="s">
        <v>13</v>
      </c>
      <c r="J9" s="16">
        <v>1850</v>
      </c>
      <c r="K9" s="83">
        <v>50</v>
      </c>
      <c r="L9" s="83">
        <v>65.759</v>
      </c>
      <c r="M9" s="83">
        <v>110</v>
      </c>
      <c r="N9" s="83">
        <v>560</v>
      </c>
    </row>
    <row r="10" spans="1:14" ht="12" customHeight="1" x14ac:dyDescent="0.3">
      <c r="A10" s="7" t="s">
        <v>78</v>
      </c>
      <c r="B10" s="14">
        <v>85.97</v>
      </c>
      <c r="C10" s="49">
        <v>-392.947</v>
      </c>
      <c r="D10" s="49">
        <v>129.40600000000001</v>
      </c>
      <c r="E10" s="69">
        <v>-540.61300000000006</v>
      </c>
      <c r="F10" s="49">
        <v>-759.3</v>
      </c>
      <c r="G10" s="49">
        <v>359.4</v>
      </c>
      <c r="I10" s="91"/>
      <c r="J10" s="16"/>
      <c r="K10" s="83"/>
      <c r="L10" s="83"/>
      <c r="M10" s="83"/>
      <c r="N10" s="83"/>
    </row>
    <row r="11" spans="1:14" ht="12" customHeight="1" x14ac:dyDescent="0.3">
      <c r="A11" s="7" t="s">
        <v>79</v>
      </c>
      <c r="B11" s="14">
        <v>65.881</v>
      </c>
      <c r="C11" s="49">
        <v>62.677</v>
      </c>
      <c r="D11" s="49">
        <v>70.263999999999996</v>
      </c>
      <c r="E11" s="69">
        <v>88.593999999999994</v>
      </c>
      <c r="F11" s="49">
        <v>121.9</v>
      </c>
      <c r="G11" s="49">
        <v>27.3</v>
      </c>
      <c r="I11" s="93" t="s">
        <v>14</v>
      </c>
      <c r="J11" s="31">
        <f>J8+J9</f>
        <v>2930</v>
      </c>
      <c r="K11" s="84">
        <f>K8+K9</f>
        <v>1410</v>
      </c>
      <c r="L11" s="84">
        <f>L8+L9</f>
        <v>1178.925</v>
      </c>
      <c r="M11" s="84">
        <f>M8+M9</f>
        <v>1310</v>
      </c>
      <c r="N11" s="84">
        <f>N8+N9</f>
        <v>3980</v>
      </c>
    </row>
    <row r="12" spans="1:14" ht="12" customHeight="1" x14ac:dyDescent="0.3">
      <c r="A12" s="7" t="s">
        <v>80</v>
      </c>
      <c r="B12" s="14">
        <v>180.458</v>
      </c>
      <c r="C12" s="49">
        <v>94.876000000000005</v>
      </c>
      <c r="D12" s="49">
        <v>110.10599999999999</v>
      </c>
      <c r="E12" s="69">
        <v>152.11699999999999</v>
      </c>
      <c r="F12" s="49">
        <v>183.3</v>
      </c>
      <c r="G12" s="49">
        <v>57.7</v>
      </c>
      <c r="I12" s="93" t="s">
        <v>15</v>
      </c>
      <c r="J12" s="31">
        <f>J7+J11</f>
        <v>4103.0380000000005</v>
      </c>
      <c r="K12" s="84">
        <f>+K57-K41</f>
        <v>3235.9450000000002</v>
      </c>
      <c r="L12" s="84">
        <f>+L57-L41</f>
        <v>3073.9009999999994</v>
      </c>
      <c r="M12" s="84">
        <f t="shared" ref="M12:N12" si="1">+M57-M41</f>
        <v>4339.33</v>
      </c>
      <c r="N12" s="84">
        <f t="shared" si="1"/>
        <v>7165.9</v>
      </c>
    </row>
    <row r="13" spans="1:14" ht="12" customHeight="1" x14ac:dyDescent="0.3">
      <c r="A13" s="2" t="s">
        <v>105</v>
      </c>
      <c r="B13" s="15">
        <f>SUM(B9:B12)</f>
        <v>861.80899999999997</v>
      </c>
      <c r="C13" s="56">
        <f>SUM(C9:C12)</f>
        <v>507.76199999999994</v>
      </c>
      <c r="D13" s="56">
        <f>SUM(D9:D12)</f>
        <v>990.39299999999992</v>
      </c>
      <c r="E13" s="70">
        <f>SUM(E9:E12)</f>
        <v>1420.7239999999999</v>
      </c>
      <c r="F13" s="56">
        <f>SUM(F9:F12)</f>
        <v>3228.3000000000006</v>
      </c>
      <c r="G13" s="56">
        <f>SUM(G9:G12)</f>
        <v>979.3</v>
      </c>
      <c r="I13" s="94"/>
      <c r="J13" s="15"/>
      <c r="K13" s="83"/>
      <c r="L13" s="85"/>
      <c r="M13" s="85"/>
      <c r="N13" s="83"/>
    </row>
    <row r="14" spans="1:14" ht="12" customHeight="1" x14ac:dyDescent="0.3">
      <c r="A14" s="17" t="s">
        <v>18</v>
      </c>
      <c r="B14" s="9">
        <f>B4-B13</f>
        <v>-33.851999999999975</v>
      </c>
      <c r="C14" s="54">
        <f>C4-C13</f>
        <v>134.90600000000006</v>
      </c>
      <c r="D14" s="54">
        <f>D4-D13</f>
        <v>250.428</v>
      </c>
      <c r="E14" s="54">
        <f t="shared" ref="E14:G14" si="2">E4-E13</f>
        <v>643.63499999999999</v>
      </c>
      <c r="F14" s="54">
        <f t="shared" si="2"/>
        <v>974.89999999999918</v>
      </c>
      <c r="G14" s="54">
        <f t="shared" si="2"/>
        <v>363.10000000000014</v>
      </c>
      <c r="H14" s="35"/>
      <c r="I14" s="91"/>
      <c r="J14" s="14"/>
      <c r="K14" s="83"/>
      <c r="L14" s="85"/>
      <c r="M14" s="85"/>
      <c r="N14" s="83"/>
    </row>
    <row r="15" spans="1:14" ht="12" customHeight="1" x14ac:dyDescent="0.3">
      <c r="A15" s="11" t="s">
        <v>10</v>
      </c>
      <c r="B15" s="12" t="s">
        <v>83</v>
      </c>
      <c r="C15" s="52" t="s">
        <v>102</v>
      </c>
      <c r="D15" s="52">
        <f>+D14/C14-1</f>
        <v>0.85631476731946599</v>
      </c>
      <c r="E15" s="52">
        <f>+E14/D14-1</f>
        <v>1.570139920456179</v>
      </c>
      <c r="F15" s="52">
        <f t="shared" ref="F15" si="3">+F14/E14-1</f>
        <v>0.51467835030723807</v>
      </c>
      <c r="G15" s="52" t="s">
        <v>83</v>
      </c>
      <c r="I15" s="93" t="s">
        <v>16</v>
      </c>
      <c r="J15" s="42">
        <f>SUM(J16:J27)</f>
        <v>2452.8069999999998</v>
      </c>
      <c r="K15" s="84">
        <f>SUM(K16:K27)</f>
        <v>2142.8500000000004</v>
      </c>
      <c r="L15" s="84">
        <f>SUM(L16:L27)</f>
        <v>1867.9489999999998</v>
      </c>
      <c r="M15" s="84">
        <f>SUM(M16:M27)</f>
        <v>1945.3500000000001</v>
      </c>
      <c r="N15" s="84">
        <f>SUM(N16:N28)</f>
        <v>2807.4999999999995</v>
      </c>
    </row>
    <row r="16" spans="1:14" ht="12" customHeight="1" x14ac:dyDescent="0.3">
      <c r="A16" s="11" t="s">
        <v>11</v>
      </c>
      <c r="B16" s="12" t="s">
        <v>83</v>
      </c>
      <c r="C16" s="52" t="s">
        <v>83</v>
      </c>
      <c r="D16" s="52" t="s">
        <v>83</v>
      </c>
      <c r="E16" s="53" t="s">
        <v>83</v>
      </c>
      <c r="F16" s="53">
        <f>(F14/C14)^(1/3)-1</f>
        <v>0.93334607750083509</v>
      </c>
      <c r="G16" s="53" t="s">
        <v>83</v>
      </c>
      <c r="I16" s="91" t="s">
        <v>17</v>
      </c>
      <c r="J16" s="7">
        <v>86.60499999999999</v>
      </c>
      <c r="K16" s="83">
        <v>87.228999999999999</v>
      </c>
      <c r="L16" s="83">
        <v>90.591999999999999</v>
      </c>
      <c r="M16" s="83">
        <v>85.39500000000001</v>
      </c>
      <c r="N16" s="83">
        <v>95.7</v>
      </c>
    </row>
    <row r="17" spans="1:14" ht="12" customHeight="1" x14ac:dyDescent="0.3">
      <c r="A17" s="17" t="s">
        <v>19</v>
      </c>
      <c r="B17" s="18">
        <f>B14/B5</f>
        <v>-4.0886181287192423E-2</v>
      </c>
      <c r="C17" s="50">
        <f>C14/C5</f>
        <v>0.2099155395943163</v>
      </c>
      <c r="D17" s="50">
        <f>D14/D5</f>
        <v>0.20182443720730067</v>
      </c>
      <c r="E17" s="50">
        <f>E14/E5</f>
        <v>0.31178443284331842</v>
      </c>
      <c r="F17" s="50">
        <f>F14/F5</f>
        <v>0.23194232965359707</v>
      </c>
      <c r="G17" s="50">
        <f>G14/G5</f>
        <v>0.2704856972586413</v>
      </c>
      <c r="I17" s="91" t="s">
        <v>114</v>
      </c>
      <c r="J17" s="7">
        <v>8.5999999999999993E-2</v>
      </c>
      <c r="K17" s="83">
        <v>2.1999999999999999E-2</v>
      </c>
      <c r="L17" s="83">
        <v>5.0000000000000001E-3</v>
      </c>
      <c r="M17" s="83">
        <v>1E-3</v>
      </c>
      <c r="N17" s="83">
        <v>0</v>
      </c>
    </row>
    <row r="18" spans="1:14" ht="12" customHeight="1" x14ac:dyDescent="0.3">
      <c r="A18" s="7" t="s">
        <v>21</v>
      </c>
      <c r="B18" s="14">
        <v>3.5350000000000001</v>
      </c>
      <c r="C18" s="49">
        <v>3.2109999999999999</v>
      </c>
      <c r="D18" s="49">
        <v>3.4420000000000002</v>
      </c>
      <c r="E18" s="69">
        <v>5.1109999999999998</v>
      </c>
      <c r="F18" s="49">
        <v>12.2</v>
      </c>
      <c r="G18" s="49">
        <v>3.4</v>
      </c>
      <c r="I18" s="91" t="s">
        <v>111</v>
      </c>
      <c r="J18" s="7">
        <v>0</v>
      </c>
      <c r="K18" s="83">
        <v>0</v>
      </c>
      <c r="L18" s="83">
        <v>0</v>
      </c>
      <c r="M18" s="83">
        <v>23.863</v>
      </c>
      <c r="N18" s="83">
        <v>17.7</v>
      </c>
    </row>
    <row r="19" spans="1:14" ht="12" customHeight="1" x14ac:dyDescent="0.3">
      <c r="A19" s="7" t="s">
        <v>22</v>
      </c>
      <c r="B19" s="14">
        <v>110.6</v>
      </c>
      <c r="C19" s="49">
        <v>206.547</v>
      </c>
      <c r="D19" s="49">
        <v>167.732</v>
      </c>
      <c r="E19" s="69">
        <v>209.52699999999999</v>
      </c>
      <c r="F19" s="49">
        <v>251.3</v>
      </c>
      <c r="G19" s="49">
        <v>61.3</v>
      </c>
      <c r="I19" s="91" t="s">
        <v>85</v>
      </c>
      <c r="J19" s="14">
        <v>115.5</v>
      </c>
      <c r="K19" s="83">
        <v>115.5</v>
      </c>
      <c r="L19" s="83">
        <v>115.5</v>
      </c>
      <c r="M19" s="83">
        <v>115.5</v>
      </c>
      <c r="N19" s="83">
        <v>115.5</v>
      </c>
    </row>
    <row r="20" spans="1:14" ht="12" customHeight="1" x14ac:dyDescent="0.3">
      <c r="A20" s="7" t="s">
        <v>8</v>
      </c>
      <c r="B20" s="5">
        <v>117.3</v>
      </c>
      <c r="C20" s="49">
        <v>203.19800000000001</v>
      </c>
      <c r="D20" s="49">
        <v>116.467</v>
      </c>
      <c r="E20" s="69">
        <v>150.01599999999999</v>
      </c>
      <c r="F20" s="49">
        <v>113.9</v>
      </c>
      <c r="G20" s="49">
        <v>14.3</v>
      </c>
      <c r="I20" s="91" t="s">
        <v>86</v>
      </c>
      <c r="J20" s="14">
        <v>8.5999999999999993E-2</v>
      </c>
      <c r="K20" s="83">
        <v>2.1999999999999999E-2</v>
      </c>
      <c r="L20" s="83">
        <v>0</v>
      </c>
      <c r="M20" s="83">
        <v>0</v>
      </c>
      <c r="N20" s="83">
        <v>0</v>
      </c>
    </row>
    <row r="21" spans="1:14" ht="12" customHeight="1" x14ac:dyDescent="0.3">
      <c r="A21" s="7" t="s">
        <v>81</v>
      </c>
      <c r="B21" s="5">
        <v>0</v>
      </c>
      <c r="C21" s="49">
        <v>0</v>
      </c>
      <c r="D21" s="49">
        <v>0</v>
      </c>
      <c r="E21" s="69">
        <v>0</v>
      </c>
      <c r="F21" s="49">
        <v>0</v>
      </c>
      <c r="G21" s="49">
        <v>0</v>
      </c>
      <c r="I21" s="91" t="s">
        <v>20</v>
      </c>
      <c r="J21" s="38">
        <v>0</v>
      </c>
      <c r="K21" s="83">
        <v>0</v>
      </c>
      <c r="L21" s="83">
        <v>0</v>
      </c>
      <c r="M21" s="83">
        <v>0</v>
      </c>
      <c r="N21" s="83">
        <v>0</v>
      </c>
    </row>
    <row r="22" spans="1:14" ht="12" customHeight="1" x14ac:dyDescent="0.3">
      <c r="A22" s="2" t="s">
        <v>106</v>
      </c>
      <c r="B22" s="14">
        <v>0.68</v>
      </c>
      <c r="C22" s="49">
        <v>0</v>
      </c>
      <c r="D22" s="49">
        <v>8.032</v>
      </c>
      <c r="E22" s="69">
        <v>3.456</v>
      </c>
      <c r="F22" s="49">
        <v>-1.2</v>
      </c>
      <c r="G22" s="49">
        <v>0</v>
      </c>
      <c r="I22" s="91" t="s">
        <v>23</v>
      </c>
      <c r="J22" s="14"/>
      <c r="K22" s="83"/>
      <c r="L22" s="83"/>
      <c r="M22" s="83"/>
      <c r="N22" s="83"/>
    </row>
    <row r="23" spans="1:14" ht="12" customHeight="1" x14ac:dyDescent="0.3">
      <c r="A23" s="17" t="s">
        <v>24</v>
      </c>
      <c r="B23" s="36">
        <f>+B14+B20-B18-B19-B21+B22</f>
        <v>-30.006999999999969</v>
      </c>
      <c r="C23" s="54">
        <f t="shared" ref="C23:G23" si="4">+C14+C20-C18-C19-C21+C22</f>
        <v>128.34600000000003</v>
      </c>
      <c r="D23" s="54">
        <f t="shared" si="4"/>
        <v>203.75299999999999</v>
      </c>
      <c r="E23" s="54">
        <f t="shared" si="4"/>
        <v>582.46899999999994</v>
      </c>
      <c r="F23" s="54">
        <f t="shared" si="4"/>
        <v>824.09999999999923</v>
      </c>
      <c r="G23" s="54">
        <f t="shared" si="4"/>
        <v>312.70000000000016</v>
      </c>
      <c r="I23" s="95" t="s">
        <v>87</v>
      </c>
      <c r="J23" s="7">
        <v>329.32100000000003</v>
      </c>
      <c r="K23" s="83">
        <v>329.95500000000004</v>
      </c>
      <c r="L23" s="83">
        <v>330.45</v>
      </c>
      <c r="M23" s="83">
        <v>209.18400000000003</v>
      </c>
      <c r="N23" s="83">
        <v>343.8</v>
      </c>
    </row>
    <row r="24" spans="1:14" ht="12" customHeight="1" x14ac:dyDescent="0.3">
      <c r="A24" s="7" t="s">
        <v>26</v>
      </c>
      <c r="B24" s="5">
        <v>-20.812999999999999</v>
      </c>
      <c r="C24" s="49">
        <v>29.06</v>
      </c>
      <c r="D24" s="49">
        <v>-68.63</v>
      </c>
      <c r="E24" s="69">
        <v>-156.077</v>
      </c>
      <c r="F24" s="49">
        <v>-234.9</v>
      </c>
      <c r="G24" s="49">
        <v>-71.8</v>
      </c>
      <c r="I24" s="95" t="s">
        <v>107</v>
      </c>
      <c r="J24" s="7">
        <v>365.96699999999998</v>
      </c>
      <c r="K24" s="83">
        <v>366.74899999999997</v>
      </c>
      <c r="L24" s="83">
        <v>261.31799999999998</v>
      </c>
      <c r="M24" s="83">
        <v>233.541</v>
      </c>
      <c r="N24" s="83">
        <v>232.9</v>
      </c>
    </row>
    <row r="25" spans="1:14" ht="12" customHeight="1" x14ac:dyDescent="0.3">
      <c r="A25" s="7" t="s">
        <v>27</v>
      </c>
      <c r="B25" s="5">
        <v>3.456</v>
      </c>
      <c r="C25" s="49">
        <v>0.435</v>
      </c>
      <c r="D25" s="49">
        <v>-0.109</v>
      </c>
      <c r="E25" s="69">
        <v>0.625</v>
      </c>
      <c r="F25" s="49">
        <v>0.5</v>
      </c>
      <c r="G25" s="49">
        <v>0</v>
      </c>
      <c r="I25" s="95" t="s">
        <v>108</v>
      </c>
      <c r="J25" s="7">
        <v>134.68900000000002</v>
      </c>
      <c r="K25" s="83">
        <v>80.984999999999999</v>
      </c>
      <c r="L25" s="83">
        <v>233.28100000000001</v>
      </c>
      <c r="M25" s="83">
        <v>127.39400000000001</v>
      </c>
      <c r="N25" s="83">
        <v>-80.400000000000006</v>
      </c>
    </row>
    <row r="26" spans="1:14" ht="12" customHeight="1" x14ac:dyDescent="0.3">
      <c r="A26" s="2" t="s">
        <v>28</v>
      </c>
      <c r="B26" s="19">
        <f>SUM(B24:B25)</f>
        <v>-17.356999999999999</v>
      </c>
      <c r="C26" s="56">
        <f>SUM(C24:C25)</f>
        <v>29.494999999999997</v>
      </c>
      <c r="D26" s="56">
        <f>SUM(D24:D25)</f>
        <v>-68.73899999999999</v>
      </c>
      <c r="E26" s="70">
        <f>SUM(E24:E25)</f>
        <v>-155.452</v>
      </c>
      <c r="F26" s="56">
        <f>SUM(F24:F25)</f>
        <v>-234.4</v>
      </c>
      <c r="G26" s="56">
        <f>SUM(G24:G25)</f>
        <v>-71.8</v>
      </c>
      <c r="I26" s="95" t="s">
        <v>25</v>
      </c>
      <c r="J26" s="7">
        <v>1114.7930000000001</v>
      </c>
      <c r="K26" s="83">
        <v>1098.8</v>
      </c>
      <c r="L26" s="83">
        <v>773.32399999999996</v>
      </c>
      <c r="M26" s="83">
        <v>1106.8499999999999</v>
      </c>
      <c r="N26" s="83">
        <v>2004.5</v>
      </c>
    </row>
    <row r="27" spans="1:14" ht="12" customHeight="1" x14ac:dyDescent="0.3">
      <c r="A27" s="2"/>
      <c r="B27" s="19"/>
      <c r="C27" s="57"/>
      <c r="D27" s="58"/>
      <c r="E27" s="71"/>
      <c r="F27" s="57"/>
      <c r="G27" s="57"/>
      <c r="I27" s="91" t="s">
        <v>84</v>
      </c>
      <c r="J27" s="7">
        <v>305.76</v>
      </c>
      <c r="K27" s="83">
        <v>63.588000000000001</v>
      </c>
      <c r="L27" s="83">
        <v>63.478999999999999</v>
      </c>
      <c r="M27" s="83">
        <v>43.622</v>
      </c>
      <c r="N27" s="83">
        <v>40.6</v>
      </c>
    </row>
    <row r="28" spans="1:14" ht="12" customHeight="1" x14ac:dyDescent="0.3">
      <c r="A28" s="11" t="s">
        <v>29</v>
      </c>
      <c r="B28" s="20">
        <f>B26/B23</f>
        <v>0.57843169927017091</v>
      </c>
      <c r="C28" s="59">
        <f>C26/C23</f>
        <v>0.22980848643510504</v>
      </c>
      <c r="D28" s="59">
        <f>D26/D23</f>
        <v>-0.33736435782540625</v>
      </c>
      <c r="E28" s="59">
        <f>E26/E23</f>
        <v>-0.26688458956614003</v>
      </c>
      <c r="F28" s="59">
        <f>F26/F23</f>
        <v>-0.2844315010314285</v>
      </c>
      <c r="G28" s="59">
        <f>G26/G23</f>
        <v>-0.22961304764950419</v>
      </c>
      <c r="I28" s="91" t="s">
        <v>121</v>
      </c>
      <c r="J28" s="7"/>
      <c r="K28" s="83"/>
      <c r="L28" s="83"/>
      <c r="M28" s="83"/>
      <c r="N28" s="83">
        <v>37.200000000000003</v>
      </c>
    </row>
    <row r="29" spans="1:14" ht="12" customHeight="1" x14ac:dyDescent="0.3">
      <c r="A29" s="17" t="s">
        <v>34</v>
      </c>
      <c r="B29" s="9">
        <f>B23-B26</f>
        <v>-12.64999999999997</v>
      </c>
      <c r="C29" s="54">
        <f>C23-C26</f>
        <v>98.851000000000028</v>
      </c>
      <c r="D29" s="54">
        <f>D23+D26</f>
        <v>135.01400000000001</v>
      </c>
      <c r="E29" s="54">
        <f>E23+E26</f>
        <v>427.01699999999994</v>
      </c>
      <c r="F29" s="54">
        <f>F23+F26</f>
        <v>589.69999999999925</v>
      </c>
      <c r="G29" s="54">
        <f>G23+G26</f>
        <v>240.90000000000015</v>
      </c>
      <c r="I29" s="93" t="s">
        <v>30</v>
      </c>
      <c r="J29" s="42">
        <f>SUM(J30:J39)</f>
        <v>3620.8859999999995</v>
      </c>
      <c r="K29" s="84">
        <f>SUM(K30:K39)</f>
        <v>2775.1559999999999</v>
      </c>
      <c r="L29" s="84">
        <f>SUM(L30:L39)</f>
        <v>2556.1689999999999</v>
      </c>
      <c r="M29" s="84">
        <f>SUM(M30:M39)</f>
        <v>3866.4810000000002</v>
      </c>
      <c r="N29" s="84">
        <f>SUM(N30:N39)</f>
        <v>7370.5999999999995</v>
      </c>
    </row>
    <row r="30" spans="1:14" ht="12" customHeight="1" x14ac:dyDescent="0.3">
      <c r="A30" s="17" t="s">
        <v>32</v>
      </c>
      <c r="B30" s="18">
        <f>B29/B5</f>
        <v>-1.5278571230148389E-2</v>
      </c>
      <c r="C30" s="50">
        <f>C29/C5</f>
        <v>0.15381347756539929</v>
      </c>
      <c r="D30" s="50">
        <f>D29/D5</f>
        <v>0.10881021517205143</v>
      </c>
      <c r="E30" s="50">
        <f>E29/E5</f>
        <v>0.20685210275925842</v>
      </c>
      <c r="F30" s="50">
        <f>F29/F5</f>
        <v>0.14029786829082586</v>
      </c>
      <c r="G30" s="50">
        <f>G29/G5</f>
        <v>0.17945470798569735</v>
      </c>
      <c r="I30" s="91" t="s">
        <v>31</v>
      </c>
      <c r="J30" s="7">
        <v>959.36200000000008</v>
      </c>
      <c r="K30" s="83">
        <v>1349.96</v>
      </c>
      <c r="L30" s="83">
        <v>1219.8709999999999</v>
      </c>
      <c r="M30" s="83">
        <v>1763.7740000000001</v>
      </c>
      <c r="N30" s="83">
        <v>2534.1</v>
      </c>
    </row>
    <row r="31" spans="1:14" ht="12" customHeight="1" x14ac:dyDescent="0.3">
      <c r="A31" s="11" t="s">
        <v>10</v>
      </c>
      <c r="B31" s="48" t="s">
        <v>83</v>
      </c>
      <c r="C31" s="51" t="s">
        <v>83</v>
      </c>
      <c r="D31" s="51">
        <f>+D29/C29-1</f>
        <v>0.3658334260654923</v>
      </c>
      <c r="E31" s="51">
        <f>+E29/D29-1</f>
        <v>2.1627608988697462</v>
      </c>
      <c r="F31" s="51">
        <f t="shared" ref="F31" si="5">+F29/E29-1</f>
        <v>0.38097546467704868</v>
      </c>
      <c r="G31" s="51" t="s">
        <v>83</v>
      </c>
      <c r="I31" s="91" t="s">
        <v>23</v>
      </c>
      <c r="J31" s="14"/>
      <c r="K31" s="83"/>
      <c r="L31" s="83">
        <v>0</v>
      </c>
      <c r="M31" s="83">
        <v>0</v>
      </c>
      <c r="N31" s="83"/>
    </row>
    <row r="32" spans="1:14" ht="12" customHeight="1" x14ac:dyDescent="0.3">
      <c r="A32" s="11" t="s">
        <v>11</v>
      </c>
      <c r="B32" s="12" t="s">
        <v>83</v>
      </c>
      <c r="C32" s="52" t="s">
        <v>83</v>
      </c>
      <c r="D32" s="52" t="s">
        <v>83</v>
      </c>
      <c r="E32" s="53" t="s">
        <v>83</v>
      </c>
      <c r="F32" s="53">
        <f>(F29/C29)^(1/3)-1</f>
        <v>0.81363555081950478</v>
      </c>
      <c r="G32" s="53" t="s">
        <v>83</v>
      </c>
      <c r="I32" s="91" t="s">
        <v>120</v>
      </c>
      <c r="J32" s="7">
        <v>2.7789999999999999</v>
      </c>
      <c r="K32" s="83">
        <v>0.56500000000000006</v>
      </c>
      <c r="L32" s="83">
        <v>13.234</v>
      </c>
      <c r="M32" s="83">
        <v>19.649000000000001</v>
      </c>
      <c r="N32" s="83">
        <v>2910.7</v>
      </c>
    </row>
    <row r="33" spans="1:16" ht="12" customHeight="1" x14ac:dyDescent="0.3">
      <c r="A33" s="7"/>
      <c r="B33" s="21"/>
      <c r="C33" s="60"/>
      <c r="D33" s="60"/>
      <c r="E33" s="72"/>
      <c r="F33" s="60"/>
      <c r="G33" s="60"/>
      <c r="I33" s="91" t="s">
        <v>115</v>
      </c>
      <c r="J33" s="7">
        <v>436.916</v>
      </c>
      <c r="K33" s="83">
        <v>443.62</v>
      </c>
      <c r="L33" s="83">
        <v>439.73599999999999</v>
      </c>
      <c r="M33" s="83">
        <v>387.267</v>
      </c>
      <c r="N33" s="83">
        <v>757.4</v>
      </c>
    </row>
    <row r="34" spans="1:16" ht="12" customHeight="1" x14ac:dyDescent="0.3">
      <c r="A34" s="2" t="s">
        <v>38</v>
      </c>
      <c r="B34" s="33">
        <v>-5.51</v>
      </c>
      <c r="C34" s="58">
        <v>11.6</v>
      </c>
      <c r="D34" s="58">
        <v>14.82</v>
      </c>
      <c r="E34" s="71">
        <v>46.88</v>
      </c>
      <c r="F34" s="58">
        <v>54.81</v>
      </c>
      <c r="G34" s="58">
        <v>22.39</v>
      </c>
      <c r="I34" s="91" t="s">
        <v>116</v>
      </c>
      <c r="J34" s="7">
        <v>49.914999999999999</v>
      </c>
      <c r="K34" s="83">
        <v>260.28699999999998</v>
      </c>
      <c r="L34" s="83">
        <v>57.150999999999996</v>
      </c>
      <c r="M34" s="83">
        <v>202.15899999999999</v>
      </c>
      <c r="N34" s="83">
        <v>103.1</v>
      </c>
    </row>
    <row r="35" spans="1:16" ht="12" customHeight="1" x14ac:dyDescent="0.3">
      <c r="A35" s="2" t="s">
        <v>82</v>
      </c>
      <c r="B35" s="33">
        <v>-5.51</v>
      </c>
      <c r="C35" s="58">
        <v>11.6</v>
      </c>
      <c r="D35" s="58">
        <v>14.82</v>
      </c>
      <c r="E35" s="71">
        <v>46.88</v>
      </c>
      <c r="F35" s="58">
        <v>54.81</v>
      </c>
      <c r="G35" s="58">
        <v>22.39</v>
      </c>
      <c r="I35" s="91" t="s">
        <v>117</v>
      </c>
      <c r="J35" s="7">
        <v>17.09</v>
      </c>
      <c r="K35" s="83">
        <v>29.731000000000002</v>
      </c>
      <c r="L35" s="83">
        <v>34.106999999999999</v>
      </c>
      <c r="M35" s="83">
        <v>507.83000000000004</v>
      </c>
      <c r="N35" s="83">
        <v>275.7</v>
      </c>
    </row>
    <row r="36" spans="1:16" ht="12" customHeight="1" x14ac:dyDescent="0.3">
      <c r="I36" s="91" t="s">
        <v>118</v>
      </c>
      <c r="J36" s="7">
        <v>519.28599999999994</v>
      </c>
      <c r="K36" s="83">
        <v>263.90999999999997</v>
      </c>
      <c r="L36" s="83">
        <v>270.90500000000003</v>
      </c>
      <c r="M36" s="83">
        <v>334.262</v>
      </c>
      <c r="N36" s="83">
        <v>54.6</v>
      </c>
    </row>
    <row r="37" spans="1:16" ht="12" customHeight="1" x14ac:dyDescent="0.3">
      <c r="I37" s="91" t="s">
        <v>119</v>
      </c>
      <c r="J37" s="7">
        <v>53.469000000000008</v>
      </c>
      <c r="K37" s="83">
        <v>8.6819999999999986</v>
      </c>
      <c r="L37" s="83">
        <v>28.227999999999998</v>
      </c>
      <c r="M37" s="83">
        <v>97.998999999999995</v>
      </c>
      <c r="N37" s="83">
        <v>16</v>
      </c>
    </row>
    <row r="38" spans="1:16" ht="12" customHeight="1" x14ac:dyDescent="0.3">
      <c r="A38" s="8" t="s">
        <v>98</v>
      </c>
      <c r="B38" s="62" t="s">
        <v>2</v>
      </c>
      <c r="C38" s="63" t="s">
        <v>3</v>
      </c>
      <c r="D38" s="63" t="s">
        <v>5</v>
      </c>
      <c r="E38" s="63" t="s">
        <v>75</v>
      </c>
      <c r="F38" s="63" t="s">
        <v>76</v>
      </c>
      <c r="I38" s="91" t="s">
        <v>88</v>
      </c>
      <c r="J38" s="7">
        <v>35.353999999999999</v>
      </c>
      <c r="K38" s="83">
        <v>6.1639999999999997</v>
      </c>
      <c r="L38" s="83">
        <v>0</v>
      </c>
      <c r="M38" s="83">
        <v>38.314999999999998</v>
      </c>
      <c r="N38" s="83">
        <v>8.5</v>
      </c>
    </row>
    <row r="39" spans="1:16" ht="12" customHeight="1" x14ac:dyDescent="0.3">
      <c r="A39" s="2" t="s">
        <v>40</v>
      </c>
      <c r="B39" s="64">
        <v>39.369</v>
      </c>
      <c r="C39" s="37">
        <v>49.914999999999999</v>
      </c>
      <c r="D39" s="37">
        <f>+C44</f>
        <v>260.28700000000009</v>
      </c>
      <c r="E39" s="37">
        <f>+D44</f>
        <v>57.150000000000148</v>
      </c>
      <c r="F39" s="37">
        <f t="shared" ref="F39" si="6">+E44</f>
        <v>202.15900000000005</v>
      </c>
      <c r="I39" s="91" t="s">
        <v>33</v>
      </c>
      <c r="J39" s="7">
        <v>1546.7149999999999</v>
      </c>
      <c r="K39" s="83">
        <v>412.23699999999997</v>
      </c>
      <c r="L39" s="83">
        <v>492.93700000000001</v>
      </c>
      <c r="M39" s="83">
        <v>515.226</v>
      </c>
      <c r="N39" s="83">
        <v>710.5</v>
      </c>
    </row>
    <row r="40" spans="1:16" ht="12" customHeight="1" x14ac:dyDescent="0.3">
      <c r="A40" s="7" t="s">
        <v>41</v>
      </c>
      <c r="B40" s="5">
        <v>-326.822</v>
      </c>
      <c r="C40" s="37">
        <v>1474.4449999999999</v>
      </c>
      <c r="D40" s="37">
        <v>303.68299999999999</v>
      </c>
      <c r="E40" s="37">
        <v>-860.59</v>
      </c>
      <c r="F40" s="37">
        <v>786.4</v>
      </c>
      <c r="I40" s="91"/>
      <c r="J40" s="14"/>
      <c r="K40" s="83"/>
      <c r="L40" s="85"/>
      <c r="M40" s="85"/>
      <c r="N40" s="83"/>
    </row>
    <row r="41" spans="1:16" ht="12" customHeight="1" x14ac:dyDescent="0.3">
      <c r="A41" s="7" t="s">
        <v>42</v>
      </c>
      <c r="B41" s="5">
        <v>295.54300000000001</v>
      </c>
      <c r="C41" s="37">
        <v>200.79499999999999</v>
      </c>
      <c r="D41" s="37">
        <v>104.51300000000001</v>
      </c>
      <c r="E41" s="37">
        <v>287.67899999999997</v>
      </c>
      <c r="F41" s="37">
        <v>-3213.5</v>
      </c>
      <c r="I41" s="93" t="s">
        <v>35</v>
      </c>
      <c r="J41" s="42">
        <f>SUM(J42:J49)</f>
        <v>3993.7889999999998</v>
      </c>
      <c r="K41" s="84">
        <f>SUM(K42:K49)</f>
        <v>1682.0610000000001</v>
      </c>
      <c r="L41" s="84">
        <f>SUM(L42:L49)</f>
        <v>1350.2170000000001</v>
      </c>
      <c r="M41" s="84">
        <f>SUM(M42:M49)</f>
        <v>1472.501</v>
      </c>
      <c r="N41" s="84">
        <f>SUM(N42:N49)</f>
        <v>3012.1999999999994</v>
      </c>
    </row>
    <row r="42" spans="1:16" ht="12" customHeight="1" x14ac:dyDescent="0.3">
      <c r="A42" s="7" t="s">
        <v>43</v>
      </c>
      <c r="B42" s="5">
        <v>-110.6</v>
      </c>
      <c r="C42" s="37">
        <v>-1464.8679999999999</v>
      </c>
      <c r="D42" s="37">
        <v>-611.33299999999997</v>
      </c>
      <c r="E42" s="37">
        <v>717.92</v>
      </c>
      <c r="F42" s="37">
        <v>2390.3000000000002</v>
      </c>
      <c r="I42" s="96" t="s">
        <v>36</v>
      </c>
      <c r="J42" s="14"/>
      <c r="K42" s="83"/>
      <c r="L42" s="85"/>
      <c r="M42" s="85"/>
      <c r="N42" s="83"/>
    </row>
    <row r="43" spans="1:16" ht="12" customHeight="1" x14ac:dyDescent="0.3">
      <c r="A43" s="2" t="s">
        <v>44</v>
      </c>
      <c r="B43" s="5">
        <f>B40+B41+B42</f>
        <v>-141.87899999999999</v>
      </c>
      <c r="C43" s="37">
        <f>C40+C41+C42</f>
        <v>210.37200000000007</v>
      </c>
      <c r="D43" s="37">
        <f>D40+D41+D42</f>
        <v>-203.13699999999994</v>
      </c>
      <c r="E43" s="37">
        <f>E40+E41+E42</f>
        <v>145.0089999999999</v>
      </c>
      <c r="F43" s="37">
        <f>F40+F41+F42+0.1</f>
        <v>-36.699999999999726</v>
      </c>
      <c r="I43" s="96" t="s">
        <v>89</v>
      </c>
      <c r="J43" s="7">
        <v>1849.723</v>
      </c>
      <c r="K43" s="83">
        <v>50</v>
      </c>
      <c r="L43" s="83">
        <v>65.759</v>
      </c>
      <c r="M43" s="83">
        <v>112.971</v>
      </c>
      <c r="N43" s="83">
        <v>555.79999999999995</v>
      </c>
    </row>
    <row r="44" spans="1:16" ht="12" customHeight="1" x14ac:dyDescent="0.3">
      <c r="A44" s="2" t="s">
        <v>45</v>
      </c>
      <c r="B44" s="31">
        <f>B39+B43</f>
        <v>-102.50999999999999</v>
      </c>
      <c r="C44" s="65">
        <f>C39+C43</f>
        <v>260.28700000000009</v>
      </c>
      <c r="D44" s="65">
        <f>D39+D43</f>
        <v>57.150000000000148</v>
      </c>
      <c r="E44" s="65">
        <f>E39+E43</f>
        <v>202.15900000000005</v>
      </c>
      <c r="F44" s="65">
        <f>F39+F43</f>
        <v>165.45900000000032</v>
      </c>
      <c r="I44" s="96" t="s">
        <v>37</v>
      </c>
      <c r="J44" s="14">
        <v>0</v>
      </c>
      <c r="K44" s="83">
        <v>0</v>
      </c>
      <c r="L44" s="83">
        <v>0</v>
      </c>
      <c r="M44" s="83">
        <v>6.6139999999999999</v>
      </c>
      <c r="N44" s="83">
        <v>7.4</v>
      </c>
    </row>
    <row r="45" spans="1:16" ht="12" customHeight="1" x14ac:dyDescent="0.3">
      <c r="A45" s="22"/>
      <c r="B45" s="61"/>
      <c r="C45" s="61"/>
      <c r="D45" s="61"/>
      <c r="F45" s="73"/>
      <c r="I45" s="96" t="s">
        <v>90</v>
      </c>
      <c r="J45" s="7">
        <v>645.16000000000008</v>
      </c>
      <c r="K45" s="83">
        <v>452.18100000000004</v>
      </c>
      <c r="L45" s="83">
        <v>494.50200000000007</v>
      </c>
      <c r="M45" s="83">
        <v>457.41700000000003</v>
      </c>
      <c r="N45" s="83">
        <v>519</v>
      </c>
    </row>
    <row r="46" spans="1:16" ht="12" customHeight="1" x14ac:dyDescent="0.3">
      <c r="A46" s="2" t="s">
        <v>99</v>
      </c>
      <c r="B46" s="67" t="s">
        <v>2</v>
      </c>
      <c r="C46" s="67" t="s">
        <v>3</v>
      </c>
      <c r="D46" s="67" t="s">
        <v>5</v>
      </c>
      <c r="E46" s="67" t="s">
        <v>75</v>
      </c>
      <c r="F46" s="74" t="s">
        <v>76</v>
      </c>
      <c r="I46" s="96" t="s">
        <v>91</v>
      </c>
      <c r="J46" s="7">
        <v>701.67399999999998</v>
      </c>
      <c r="K46" s="83">
        <v>378.89600000000002</v>
      </c>
      <c r="L46" s="83">
        <v>303.91700000000003</v>
      </c>
      <c r="M46" s="83">
        <v>234.95100000000002</v>
      </c>
      <c r="N46" s="83">
        <v>823.6</v>
      </c>
      <c r="P46" s="32"/>
    </row>
    <row r="47" spans="1:16" ht="12" customHeight="1" x14ac:dyDescent="0.3">
      <c r="A47" s="75" t="s">
        <v>47</v>
      </c>
      <c r="B47" s="76">
        <v>0</v>
      </c>
      <c r="C47" s="80">
        <f>+C40</f>
        <v>1474.4449999999999</v>
      </c>
      <c r="D47" s="80">
        <f t="shared" ref="D47:F47" si="7">+D40</f>
        <v>303.68299999999999</v>
      </c>
      <c r="E47" s="80">
        <f t="shared" si="7"/>
        <v>-860.59</v>
      </c>
      <c r="F47" s="80">
        <f t="shared" si="7"/>
        <v>786.4</v>
      </c>
      <c r="I47" s="96" t="s">
        <v>39</v>
      </c>
      <c r="J47" s="7">
        <v>797.23199999999997</v>
      </c>
      <c r="K47" s="83">
        <v>800.98400000000004</v>
      </c>
      <c r="L47" s="83">
        <v>476.54700000000003</v>
      </c>
      <c r="M47" s="83">
        <v>611.33500000000004</v>
      </c>
      <c r="N47" s="83">
        <v>923.5</v>
      </c>
      <c r="P47" s="32"/>
    </row>
    <row r="48" spans="1:16" ht="12" customHeight="1" x14ac:dyDescent="0.3">
      <c r="A48" s="7" t="s">
        <v>49</v>
      </c>
      <c r="B48" s="77">
        <v>0</v>
      </c>
      <c r="C48" s="77">
        <v>-3.7730000000000001</v>
      </c>
      <c r="D48" s="77">
        <v>-6.8230000000000004</v>
      </c>
      <c r="E48" s="77">
        <f>-22.412+32.375</f>
        <v>9.963000000000001</v>
      </c>
      <c r="F48" s="77">
        <f>-174.3+1.6</f>
        <v>-172.70000000000002</v>
      </c>
      <c r="I48" s="91" t="s">
        <v>92</v>
      </c>
      <c r="J48" s="14"/>
      <c r="K48" s="83"/>
      <c r="L48" s="83">
        <v>0.65100000000000002</v>
      </c>
      <c r="M48" s="83">
        <v>3.7490000000000001</v>
      </c>
      <c r="N48" s="83">
        <v>1.2</v>
      </c>
      <c r="P48" s="32"/>
    </row>
    <row r="49" spans="1:15" ht="12" customHeight="1" x14ac:dyDescent="0.3">
      <c r="A49" s="17" t="s">
        <v>97</v>
      </c>
      <c r="B49" s="78">
        <f>B47-B48</f>
        <v>0</v>
      </c>
      <c r="C49" s="81">
        <f>+C47+C48</f>
        <v>1470.672</v>
      </c>
      <c r="D49" s="81">
        <f t="shared" ref="D49:F49" si="8">+D47+D48</f>
        <v>296.86</v>
      </c>
      <c r="E49" s="81">
        <f t="shared" si="8"/>
        <v>-850.62700000000007</v>
      </c>
      <c r="F49" s="81">
        <f t="shared" si="8"/>
        <v>613.69999999999993</v>
      </c>
      <c r="I49" s="91" t="s">
        <v>112</v>
      </c>
      <c r="J49" s="16"/>
      <c r="K49" s="83"/>
      <c r="L49" s="83">
        <v>8.8409999999999993</v>
      </c>
      <c r="M49" s="83">
        <v>45.463999999999999</v>
      </c>
      <c r="N49" s="88">
        <v>181.7</v>
      </c>
    </row>
    <row r="50" spans="1:15" ht="12" customHeight="1" x14ac:dyDescent="0.3">
      <c r="A50" s="22" t="s">
        <v>51</v>
      </c>
      <c r="I50" s="97"/>
      <c r="J50" s="39"/>
      <c r="K50" s="86"/>
      <c r="L50" s="86"/>
      <c r="M50" s="86"/>
      <c r="N50" s="83"/>
    </row>
    <row r="51" spans="1:15" ht="12" customHeight="1" x14ac:dyDescent="0.3">
      <c r="A51" s="2" t="s">
        <v>100</v>
      </c>
      <c r="B51" s="67" t="s">
        <v>2</v>
      </c>
      <c r="C51" s="67" t="s">
        <v>3</v>
      </c>
      <c r="D51" s="67" t="s">
        <v>5</v>
      </c>
      <c r="E51" s="67" t="s">
        <v>75</v>
      </c>
      <c r="F51" s="74" t="s">
        <v>76</v>
      </c>
      <c r="G51" s="74" t="s">
        <v>122</v>
      </c>
      <c r="I51" s="98" t="s">
        <v>95</v>
      </c>
      <c r="J51" s="43">
        <f>SUM(J52:J56)</f>
        <v>1209.2950000000001</v>
      </c>
      <c r="K51" s="87">
        <f>SUM(K52:K56)</f>
        <v>1456.856</v>
      </c>
      <c r="L51" s="87">
        <f>SUM(L52:L56)</f>
        <v>1158.99</v>
      </c>
      <c r="M51" s="87">
        <f>SUM(M52:M56)</f>
        <v>1229.8500000000001</v>
      </c>
      <c r="N51" s="87">
        <f>SUM(N52:N56)</f>
        <v>3452.2000000000003</v>
      </c>
    </row>
    <row r="52" spans="1:15" ht="12" customHeight="1" x14ac:dyDescent="0.3">
      <c r="A52" s="7" t="s">
        <v>53</v>
      </c>
      <c r="B52" s="79">
        <v>9.8000000000000007</v>
      </c>
      <c r="C52" s="82">
        <f>8600000/10^6</f>
        <v>8.6</v>
      </c>
      <c r="D52" s="82">
        <f>8600000/10^6</f>
        <v>8.6</v>
      </c>
      <c r="E52" s="82">
        <f>9965624/10^6</f>
        <v>9.965624</v>
      </c>
      <c r="F52" s="82">
        <f>9965624/10^6</f>
        <v>9.965624</v>
      </c>
      <c r="G52" s="82">
        <f>9965624/10^6</f>
        <v>9.965624</v>
      </c>
      <c r="I52" s="91" t="s">
        <v>36</v>
      </c>
      <c r="J52" s="14">
        <v>0</v>
      </c>
      <c r="K52" s="83"/>
      <c r="L52" s="83"/>
      <c r="M52" s="83"/>
      <c r="N52" s="83"/>
    </row>
    <row r="53" spans="1:15" ht="12" customHeight="1" x14ac:dyDescent="0.3">
      <c r="A53" s="7" t="s">
        <v>54</v>
      </c>
      <c r="B53" s="79">
        <f>B52*J62</f>
        <v>316.05</v>
      </c>
      <c r="C53" s="82">
        <f>C52*K62</f>
        <v>331.96</v>
      </c>
      <c r="D53" s="82">
        <f>D52*L62</f>
        <v>1037.1599999999999</v>
      </c>
      <c r="E53" s="82">
        <f>E52*M62</f>
        <v>7274.9055200000003</v>
      </c>
      <c r="F53" s="82">
        <f>F52*N62</f>
        <v>9666.6552800000009</v>
      </c>
      <c r="G53" s="82">
        <f>G52*O62</f>
        <v>8876.3812968000002</v>
      </c>
      <c r="I53" s="91" t="s">
        <v>96</v>
      </c>
      <c r="J53" s="7">
        <v>1078.7670000000001</v>
      </c>
      <c r="K53" s="83">
        <v>1360.838</v>
      </c>
      <c r="L53" s="83">
        <v>1113.1659999999999</v>
      </c>
      <c r="M53" s="83">
        <v>1196.345</v>
      </c>
      <c r="N53" s="83">
        <v>3424</v>
      </c>
    </row>
    <row r="54" spans="1:15" ht="12" customHeight="1" x14ac:dyDescent="0.3">
      <c r="A54" s="7" t="s">
        <v>56</v>
      </c>
      <c r="B54" s="79">
        <f>J11</f>
        <v>2930</v>
      </c>
      <c r="C54" s="82">
        <f>+K11</f>
        <v>1410</v>
      </c>
      <c r="D54" s="82">
        <f t="shared" ref="D54:F54" si="9">+L11</f>
        <v>1178.925</v>
      </c>
      <c r="E54" s="82">
        <f t="shared" si="9"/>
        <v>1310</v>
      </c>
      <c r="F54" s="82">
        <f t="shared" si="9"/>
        <v>3980</v>
      </c>
      <c r="G54" s="108" t="s">
        <v>83</v>
      </c>
      <c r="I54" s="91" t="s">
        <v>113</v>
      </c>
      <c r="J54" s="14">
        <v>0</v>
      </c>
      <c r="K54" s="83">
        <v>0</v>
      </c>
      <c r="L54" s="83">
        <v>0</v>
      </c>
      <c r="M54" s="83">
        <v>15.065999999999999</v>
      </c>
      <c r="N54" s="83">
        <v>7.8</v>
      </c>
    </row>
    <row r="55" spans="1:15" ht="12" customHeight="1" x14ac:dyDescent="0.3">
      <c r="A55" s="7" t="s">
        <v>57</v>
      </c>
      <c r="B55" s="79">
        <f>J34+J35</f>
        <v>67.004999999999995</v>
      </c>
      <c r="C55" s="82">
        <f>+K34+K35</f>
        <v>290.01799999999997</v>
      </c>
      <c r="D55" s="82">
        <f t="shared" ref="D55:F55" si="10">+L34+L35</f>
        <v>91.257999999999996</v>
      </c>
      <c r="E55" s="82">
        <f t="shared" si="10"/>
        <v>709.98900000000003</v>
      </c>
      <c r="F55" s="82">
        <f t="shared" si="10"/>
        <v>378.79999999999995</v>
      </c>
      <c r="G55" s="108" t="s">
        <v>83</v>
      </c>
      <c r="I55" s="91" t="s">
        <v>109</v>
      </c>
      <c r="J55" s="7">
        <v>11.43</v>
      </c>
      <c r="K55" s="83">
        <v>13.901999999999999</v>
      </c>
      <c r="L55" s="83">
        <v>16.103999999999999</v>
      </c>
      <c r="M55" s="83">
        <v>7.0950000000000006</v>
      </c>
      <c r="N55" s="83">
        <v>20.399999999999999</v>
      </c>
    </row>
    <row r="56" spans="1:15" ht="12" customHeight="1" x14ac:dyDescent="0.3">
      <c r="A56" s="7" t="s">
        <v>59</v>
      </c>
      <c r="B56" s="79">
        <f>SUM(B53:B54)-B55</f>
        <v>3179.0450000000001</v>
      </c>
      <c r="C56" s="82">
        <f>+C53+C54-C55</f>
        <v>1451.942</v>
      </c>
      <c r="D56" s="82">
        <f t="shared" ref="D56:F56" si="11">+D53+D54-D55</f>
        <v>2124.8270000000002</v>
      </c>
      <c r="E56" s="82">
        <f t="shared" si="11"/>
        <v>7874.9165200000007</v>
      </c>
      <c r="F56" s="82">
        <f t="shared" si="11"/>
        <v>13267.855280000002</v>
      </c>
      <c r="G56" s="108" t="s">
        <v>83</v>
      </c>
      <c r="I56" s="91" t="s">
        <v>123</v>
      </c>
      <c r="J56" s="7">
        <v>119.098</v>
      </c>
      <c r="K56" s="83">
        <v>82.116</v>
      </c>
      <c r="L56" s="83">
        <v>29.72</v>
      </c>
      <c r="M56" s="83">
        <v>11.343999999999999</v>
      </c>
      <c r="N56" s="83"/>
    </row>
    <row r="57" spans="1:15" ht="12" customHeight="1" x14ac:dyDescent="0.3">
      <c r="B57" s="25"/>
      <c r="C57" s="26"/>
      <c r="D57" s="26"/>
      <c r="E57" s="26"/>
      <c r="F57" s="26"/>
      <c r="G57" s="26"/>
      <c r="H57" s="1"/>
      <c r="I57" s="93" t="s">
        <v>46</v>
      </c>
      <c r="J57" s="31">
        <f>J29+J15</f>
        <v>6073.6929999999993</v>
      </c>
      <c r="K57" s="84">
        <f>K29+K15</f>
        <v>4918.0060000000003</v>
      </c>
      <c r="L57" s="84">
        <f>L29+L15</f>
        <v>4424.1179999999995</v>
      </c>
      <c r="M57" s="84">
        <f>M29+M15</f>
        <v>5811.8310000000001</v>
      </c>
      <c r="N57" s="84">
        <f>N29+N15</f>
        <v>10178.099999999999</v>
      </c>
    </row>
    <row r="58" spans="1:15" x14ac:dyDescent="0.3">
      <c r="B58" s="24"/>
      <c r="C58" s="6"/>
      <c r="D58" s="6"/>
      <c r="E58" s="6"/>
      <c r="F58" s="6"/>
      <c r="G58" s="6"/>
      <c r="I58" s="93" t="s">
        <v>48</v>
      </c>
      <c r="J58" s="31">
        <f>J7+J51+J41</f>
        <v>6376.1219999999994</v>
      </c>
      <c r="K58" s="84">
        <f>K7+K51+K41</f>
        <v>4917.9879999999994</v>
      </c>
      <c r="L58" s="84">
        <f>L7+L51+L41</f>
        <v>4424.1170000000002</v>
      </c>
      <c r="M58" s="84">
        <f>M7+M51+M41</f>
        <v>5811.83</v>
      </c>
      <c r="N58" s="84">
        <f>N7+N51+N41</f>
        <v>10178.099999999999</v>
      </c>
    </row>
    <row r="59" spans="1:15" x14ac:dyDescent="0.3">
      <c r="B59" s="24"/>
      <c r="C59" s="27"/>
      <c r="D59" s="27"/>
      <c r="E59" s="27"/>
      <c r="F59" s="27"/>
      <c r="G59" s="27"/>
      <c r="N59" s="40"/>
    </row>
    <row r="60" spans="1:15" ht="12" customHeight="1" x14ac:dyDescent="0.3">
      <c r="B60" s="29"/>
      <c r="H60" s="23"/>
      <c r="I60" s="1"/>
    </row>
    <row r="61" spans="1:15" ht="12" customHeight="1" x14ac:dyDescent="0.3">
      <c r="B61" s="23"/>
      <c r="H61" s="26"/>
      <c r="I61" s="2" t="s">
        <v>50</v>
      </c>
      <c r="J61" s="99" t="s">
        <v>2</v>
      </c>
      <c r="K61" s="99" t="s">
        <v>3</v>
      </c>
      <c r="L61" s="99" t="s">
        <v>5</v>
      </c>
      <c r="M61" s="99" t="s">
        <v>75</v>
      </c>
      <c r="N61" s="99" t="s">
        <v>76</v>
      </c>
      <c r="O61" s="99" t="s">
        <v>122</v>
      </c>
    </row>
    <row r="62" spans="1:15" ht="12" customHeight="1" x14ac:dyDescent="0.3">
      <c r="B62" s="25"/>
      <c r="I62" s="101" t="s">
        <v>52</v>
      </c>
      <c r="J62" s="100">
        <v>32.25</v>
      </c>
      <c r="K62" s="109">
        <v>38.6</v>
      </c>
      <c r="L62" s="109">
        <v>120.6</v>
      </c>
      <c r="M62" s="109">
        <v>730</v>
      </c>
      <c r="N62" s="110">
        <v>970</v>
      </c>
      <c r="O62" s="21">
        <v>890.7</v>
      </c>
    </row>
    <row r="63" spans="1:15" ht="12" customHeight="1" x14ac:dyDescent="0.3">
      <c r="B63" s="25"/>
      <c r="C63" s="30"/>
      <c r="D63" s="30"/>
      <c r="E63" s="30"/>
      <c r="F63" s="23"/>
      <c r="G63" s="23"/>
      <c r="H63" s="24"/>
      <c r="I63" s="113" t="s">
        <v>101</v>
      </c>
      <c r="J63" s="122">
        <f>B35</f>
        <v>-5.51</v>
      </c>
      <c r="K63" s="120">
        <f>C35</f>
        <v>11.6</v>
      </c>
      <c r="L63" s="120">
        <f t="shared" ref="L63:N63" si="12">D35</f>
        <v>14.82</v>
      </c>
      <c r="M63" s="120">
        <f t="shared" si="12"/>
        <v>46.88</v>
      </c>
      <c r="N63" s="120">
        <f t="shared" si="12"/>
        <v>54.81</v>
      </c>
      <c r="O63" s="120">
        <f>G35+N63-15.2</f>
        <v>62</v>
      </c>
    </row>
    <row r="64" spans="1:15" ht="12" customHeight="1" x14ac:dyDescent="0.3">
      <c r="B64" s="25"/>
      <c r="C64" s="24"/>
      <c r="D64" s="24"/>
      <c r="E64" s="24"/>
      <c r="F64" s="24"/>
      <c r="G64" s="24"/>
      <c r="I64" s="113" t="s">
        <v>55</v>
      </c>
      <c r="J64" s="122">
        <f>J7/B52</f>
        <v>119.69775510204082</v>
      </c>
      <c r="K64" s="120">
        <f>K7/C52</f>
        <v>206.86872093023257</v>
      </c>
      <c r="L64" s="120">
        <f>L7/D52</f>
        <v>222.6639534883721</v>
      </c>
      <c r="M64" s="120">
        <f>M7/E52</f>
        <v>312.02050167656336</v>
      </c>
      <c r="N64" s="120">
        <f>N7/G52</f>
        <v>372.65102516410411</v>
      </c>
      <c r="O64" s="115" t="s">
        <v>102</v>
      </c>
    </row>
    <row r="65" spans="2:15" ht="12" customHeight="1" x14ac:dyDescent="0.3">
      <c r="B65" s="25"/>
      <c r="C65" s="24"/>
      <c r="D65" s="24"/>
      <c r="E65" s="24"/>
      <c r="F65" s="24"/>
      <c r="G65" s="24"/>
      <c r="H65" s="28"/>
      <c r="I65" s="101" t="s">
        <v>58</v>
      </c>
      <c r="J65" s="102" t="s">
        <v>102</v>
      </c>
      <c r="K65" s="111">
        <f>+K62/K63</f>
        <v>3.327586206896552</v>
      </c>
      <c r="L65" s="111">
        <f t="shared" ref="L65:O65" si="13">+L62/L63</f>
        <v>8.137651821862347</v>
      </c>
      <c r="M65" s="111">
        <f t="shared" si="13"/>
        <v>15.571672354948804</v>
      </c>
      <c r="N65" s="111">
        <f t="shared" si="13"/>
        <v>17.697500456121144</v>
      </c>
      <c r="O65" s="111">
        <f t="shared" si="13"/>
        <v>14.366129032258065</v>
      </c>
    </row>
    <row r="66" spans="2:15" ht="12" customHeight="1" x14ac:dyDescent="0.3">
      <c r="B66" s="24"/>
      <c r="C66" s="24"/>
      <c r="D66" s="24"/>
      <c r="E66" s="24"/>
      <c r="F66" s="24"/>
      <c r="G66" s="24"/>
      <c r="H66" s="25"/>
      <c r="I66" s="113" t="s">
        <v>60</v>
      </c>
      <c r="J66" s="79">
        <f>J62/J64</f>
        <v>0.26942861186082634</v>
      </c>
      <c r="K66" s="114">
        <f>+K62/K64</f>
        <v>0.18659176615210973</v>
      </c>
      <c r="L66" s="114">
        <f t="shared" ref="L66:N66" si="14">+L62/L64</f>
        <v>0.54162336611120099</v>
      </c>
      <c r="M66" s="114">
        <f t="shared" si="14"/>
        <v>2.339589854120256</v>
      </c>
      <c r="N66" s="114">
        <f t="shared" si="14"/>
        <v>2.6029715055066376</v>
      </c>
      <c r="O66" s="115" t="s">
        <v>102</v>
      </c>
    </row>
    <row r="67" spans="2:15" ht="12" customHeight="1" x14ac:dyDescent="0.3">
      <c r="B67" s="25"/>
      <c r="C67" s="24"/>
      <c r="D67" s="24"/>
      <c r="E67" s="24"/>
      <c r="F67" s="24"/>
      <c r="G67" s="24"/>
      <c r="H67" s="25"/>
      <c r="I67" s="113" t="s">
        <v>61</v>
      </c>
      <c r="J67" s="116" t="s">
        <v>102</v>
      </c>
      <c r="K67" s="114">
        <f>+C56/C14</f>
        <v>10.762619898299551</v>
      </c>
      <c r="L67" s="114">
        <f t="shared" ref="L67:N67" si="15">+D56/D14</f>
        <v>8.4847820531250502</v>
      </c>
      <c r="M67" s="114">
        <f t="shared" si="15"/>
        <v>12.235065712709844</v>
      </c>
      <c r="N67" s="114">
        <f t="shared" si="15"/>
        <v>13.609452538721934</v>
      </c>
      <c r="O67" s="115" t="s">
        <v>102</v>
      </c>
    </row>
    <row r="68" spans="2:15" ht="12" customHeight="1" x14ac:dyDescent="0.3">
      <c r="B68" s="24"/>
      <c r="C68" s="25"/>
      <c r="D68" s="25"/>
      <c r="E68" s="25"/>
      <c r="F68" s="25"/>
      <c r="G68" s="25"/>
      <c r="H68" s="25"/>
      <c r="I68" s="117" t="s">
        <v>62</v>
      </c>
      <c r="J68" s="116" t="s">
        <v>102</v>
      </c>
      <c r="K68" s="118">
        <f>+C29/K7</f>
        <v>5.5563268694728898E-2</v>
      </c>
      <c r="L68" s="118">
        <f t="shared" ref="L68:N68" si="16">+D29/L7</f>
        <v>7.0506707887054751E-2</v>
      </c>
      <c r="M68" s="118">
        <f t="shared" si="16"/>
        <v>0.13732750727694251</v>
      </c>
      <c r="N68" s="118">
        <f t="shared" si="16"/>
        <v>0.15879042464388596</v>
      </c>
      <c r="O68" s="115" t="s">
        <v>102</v>
      </c>
    </row>
    <row r="69" spans="2:15" ht="12" customHeight="1" x14ac:dyDescent="0.3">
      <c r="B69" s="10"/>
      <c r="C69" s="25"/>
      <c r="D69" s="25"/>
      <c r="E69" s="25"/>
      <c r="F69" s="25"/>
      <c r="G69" s="25"/>
      <c r="H69" s="24"/>
      <c r="I69" s="117" t="s">
        <v>63</v>
      </c>
      <c r="J69" s="116" t="s">
        <v>102</v>
      </c>
      <c r="K69" s="118">
        <f>+(C23+C19)/K12</f>
        <v>0.10349156119773359</v>
      </c>
      <c r="L69" s="118">
        <f>+(D23+D19)/L12</f>
        <v>0.12085132214733008</v>
      </c>
      <c r="M69" s="118">
        <f>+(E23+E19)/M12</f>
        <v>0.18251573399580118</v>
      </c>
      <c r="N69" s="118">
        <f>+(F23+F19)/N12</f>
        <v>0.15007186815333723</v>
      </c>
      <c r="O69" s="115" t="s">
        <v>102</v>
      </c>
    </row>
    <row r="70" spans="2:15" ht="12" customHeight="1" x14ac:dyDescent="0.3">
      <c r="C70" s="24"/>
      <c r="D70" s="24"/>
      <c r="E70" s="24"/>
      <c r="F70" s="24"/>
      <c r="G70" s="24"/>
      <c r="H70" s="25"/>
      <c r="I70" s="113" t="s">
        <v>64</v>
      </c>
      <c r="J70" s="119">
        <f>J11/J7</f>
        <v>2.4977877954507868</v>
      </c>
      <c r="K70" s="120">
        <f>+C54/K7</f>
        <v>0.79254847052197475</v>
      </c>
      <c r="L70" s="120">
        <f t="shared" ref="L70:N70" si="17">+D54/L7</f>
        <v>0.61565556605793481</v>
      </c>
      <c r="M70" s="120">
        <f t="shared" si="17"/>
        <v>0.42129244159552132</v>
      </c>
      <c r="N70" s="120">
        <f t="shared" si="17"/>
        <v>1.0717074615612463</v>
      </c>
      <c r="O70" s="115" t="s">
        <v>102</v>
      </c>
    </row>
    <row r="71" spans="2:15" ht="12" customHeight="1" x14ac:dyDescent="0.3">
      <c r="B71" s="28"/>
      <c r="C71" s="24"/>
      <c r="D71" s="24"/>
      <c r="E71" s="24"/>
      <c r="F71" s="24"/>
      <c r="G71" s="24"/>
      <c r="H71" s="25"/>
      <c r="I71" s="113" t="s">
        <v>65</v>
      </c>
      <c r="J71" s="119">
        <f>(J11-B55)/J7</f>
        <v>2.4406668837667662</v>
      </c>
      <c r="K71" s="120">
        <f>+(C54-C55)/K7</f>
        <v>0.62953192986676754</v>
      </c>
      <c r="L71" s="120">
        <f>+(D54-D55)/L7</f>
        <v>0.56799901823062171</v>
      </c>
      <c r="M71" s="120">
        <f>+(E54-E55)/M7</f>
        <v>0.19296190776654223</v>
      </c>
      <c r="N71" s="120">
        <f>+(F54-F55)/N7</f>
        <v>0.96970676145084422</v>
      </c>
      <c r="O71" s="115" t="s">
        <v>102</v>
      </c>
    </row>
    <row r="72" spans="2:15" ht="12" customHeight="1" x14ac:dyDescent="0.3">
      <c r="B72" s="25"/>
      <c r="C72" s="23"/>
      <c r="D72" s="23"/>
      <c r="E72" s="23"/>
      <c r="F72" s="23"/>
      <c r="G72" s="23"/>
      <c r="I72" s="113" t="s">
        <v>66</v>
      </c>
      <c r="J72" s="79">
        <f>AVERAGE(I33:J33)/B4*365</f>
        <v>192.61186269335244</v>
      </c>
      <c r="K72" s="120">
        <f>+AVERAGE(I33:K33)/C4*365</f>
        <v>250.0479563320408</v>
      </c>
      <c r="L72" s="120">
        <f t="shared" ref="L72:N72" si="18">+AVERAGE(J33:L33)/D4*365</f>
        <v>129.4571040732977</v>
      </c>
      <c r="M72" s="120">
        <f t="shared" si="18"/>
        <v>74.886424793362011</v>
      </c>
      <c r="N72" s="120">
        <f t="shared" si="18"/>
        <v>45.862445676310116</v>
      </c>
      <c r="O72" s="115" t="s">
        <v>102</v>
      </c>
    </row>
    <row r="73" spans="2:15" ht="14.25" customHeight="1" x14ac:dyDescent="0.3">
      <c r="B73" s="25"/>
      <c r="C73" s="25"/>
      <c r="D73" s="25"/>
      <c r="E73" s="25"/>
      <c r="F73" s="25"/>
      <c r="G73" s="25"/>
      <c r="H73" s="6"/>
      <c r="I73" s="101" t="s">
        <v>67</v>
      </c>
      <c r="J73" s="103" t="e">
        <f>AVERAGE(I50:J50)/B4*365</f>
        <v>#DIV/0!</v>
      </c>
      <c r="K73" s="110">
        <f>+AVERAGE(I45:K45)/SUM(C9:C10)*365</f>
        <v>571.84347775185688</v>
      </c>
      <c r="L73" s="110">
        <f t="shared" ref="L73:N73" si="19">+AVERAGE(J45:L45)/SUM(D9:D10)*365</f>
        <v>239.097200532166</v>
      </c>
      <c r="M73" s="110">
        <f t="shared" si="19"/>
        <v>144.77142765941281</v>
      </c>
      <c r="N73" s="110">
        <f t="shared" si="19"/>
        <v>61.223294333641221</v>
      </c>
      <c r="O73" s="112" t="s">
        <v>102</v>
      </c>
    </row>
    <row r="74" spans="2:15" ht="14.25" customHeight="1" x14ac:dyDescent="0.3">
      <c r="B74" s="24"/>
      <c r="C74" s="25"/>
      <c r="D74" s="25"/>
      <c r="E74" s="25"/>
      <c r="F74" s="25"/>
      <c r="G74" s="25"/>
      <c r="H74" s="27"/>
      <c r="I74" s="101" t="s">
        <v>68</v>
      </c>
      <c r="J74" s="103">
        <f>AVERAGE(I30:J30)/B4*365</f>
        <v>422.92912554637502</v>
      </c>
      <c r="K74" s="110">
        <f>+AVERAGE(I30:K30)/SUM(C9:C10)*365</f>
        <v>1203.427853082017</v>
      </c>
      <c r="L74" s="110">
        <f t="shared" ref="L74:N74" si="20">+AVERAGE(J30:L30)/SUM(D9:D10)*365</f>
        <v>530.09006945893316</v>
      </c>
      <c r="M74" s="110">
        <f t="shared" si="20"/>
        <v>446.82158162664314</v>
      </c>
      <c r="N74" s="110">
        <f t="shared" si="20"/>
        <v>229.66222218421078</v>
      </c>
      <c r="O74" s="112" t="s">
        <v>102</v>
      </c>
    </row>
    <row r="75" spans="2:15" ht="14.25" customHeight="1" x14ac:dyDescent="0.3">
      <c r="C75" s="25"/>
      <c r="D75" s="25"/>
      <c r="E75" s="25"/>
      <c r="F75" s="25"/>
      <c r="G75" s="25"/>
      <c r="I75" s="101" t="s">
        <v>69</v>
      </c>
      <c r="J75" s="106" t="e">
        <f>J72+J74-J73</f>
        <v>#DIV/0!</v>
      </c>
      <c r="K75" s="110">
        <f>+K72+K74-K73</f>
        <v>881.63233166220084</v>
      </c>
      <c r="L75" s="110">
        <f t="shared" ref="L75:N75" si="21">+L72+L74-L73</f>
        <v>420.44997300006492</v>
      </c>
      <c r="M75" s="110">
        <f t="shared" si="21"/>
        <v>376.9365787605924</v>
      </c>
      <c r="N75" s="110">
        <f t="shared" si="21"/>
        <v>214.30137352687967</v>
      </c>
      <c r="O75" s="112" t="s">
        <v>102</v>
      </c>
    </row>
    <row r="76" spans="2:15" ht="14.25" customHeight="1" x14ac:dyDescent="0.3">
      <c r="C76" s="25"/>
      <c r="D76" s="25"/>
      <c r="E76" s="25"/>
      <c r="F76" s="25"/>
      <c r="G76" s="25"/>
      <c r="I76" s="107" t="s">
        <v>70</v>
      </c>
      <c r="J76" s="104">
        <f>B19/J11</f>
        <v>3.7747440273037544E-2</v>
      </c>
      <c r="K76" s="110">
        <f>+C19/C54</f>
        <v>0.14648723404255318</v>
      </c>
      <c r="L76" s="110">
        <f t="shared" ref="L76:N76" si="22">+D19/D54</f>
        <v>0.14227537799266282</v>
      </c>
      <c r="M76" s="110">
        <f t="shared" si="22"/>
        <v>0.15994427480916029</v>
      </c>
      <c r="N76" s="110">
        <f t="shared" si="22"/>
        <v>6.3140703517587937E-2</v>
      </c>
      <c r="O76" s="112" t="s">
        <v>102</v>
      </c>
    </row>
    <row r="77" spans="2:15" ht="14.25" customHeight="1" x14ac:dyDescent="0.3">
      <c r="C77" s="25"/>
      <c r="D77" s="25"/>
      <c r="E77" s="25"/>
      <c r="F77" s="25"/>
      <c r="G77" s="25"/>
      <c r="I77" s="107" t="s">
        <v>71</v>
      </c>
      <c r="J77" s="105">
        <f>B4/J16</f>
        <v>9.5601524161422553</v>
      </c>
      <c r="K77" s="110">
        <f>+C4/AVERAGE(I16:K16)</f>
        <v>7.3940425923582271</v>
      </c>
      <c r="L77" s="110">
        <f t="shared" ref="L77:N77" si="23">+D4/AVERAGE(J16:L16)</f>
        <v>14.07752263393161</v>
      </c>
      <c r="M77" s="110">
        <f t="shared" si="23"/>
        <v>23.528497507750284</v>
      </c>
      <c r="N77" s="110">
        <f t="shared" si="23"/>
        <v>46.412231722533647</v>
      </c>
      <c r="O77" s="112" t="s">
        <v>102</v>
      </c>
    </row>
    <row r="78" spans="2:15" ht="14.25" customHeight="1" x14ac:dyDescent="0.3">
      <c r="C78" s="24"/>
      <c r="D78" s="24"/>
      <c r="E78" s="24"/>
      <c r="F78" s="24"/>
      <c r="G78" s="24"/>
      <c r="H78" s="23"/>
      <c r="I78" s="121" t="s">
        <v>72</v>
      </c>
      <c r="J78" s="116" t="s">
        <v>102</v>
      </c>
      <c r="K78" s="113">
        <f>+(C23+C19)/C19</f>
        <v>1.6213888364391642</v>
      </c>
      <c r="L78" s="113">
        <f t="shared" ref="L78:N78" si="24">+(D23+D19)/D19</f>
        <v>2.2147532969260486</v>
      </c>
      <c r="M78" s="113">
        <f t="shared" si="24"/>
        <v>3.7799233511671524</v>
      </c>
      <c r="N78" s="113">
        <f t="shared" si="24"/>
        <v>4.2793473935535182</v>
      </c>
      <c r="O78" s="115" t="s">
        <v>102</v>
      </c>
    </row>
    <row r="79" spans="2:15" ht="14.25" customHeight="1" x14ac:dyDescent="0.3">
      <c r="C79" s="25"/>
      <c r="D79" s="25"/>
      <c r="E79" s="25"/>
      <c r="F79" s="25"/>
      <c r="G79" s="25"/>
      <c r="H79" s="24"/>
    </row>
    <row r="80" spans="2:15" ht="14.25" customHeight="1" x14ac:dyDescent="0.3">
      <c r="C80" s="24"/>
      <c r="D80" s="24"/>
      <c r="E80" s="24"/>
      <c r="F80" s="24"/>
      <c r="G80" s="24"/>
      <c r="H80" s="24"/>
    </row>
    <row r="81" spans="3:9" ht="14.25" customHeight="1" x14ac:dyDescent="0.3">
      <c r="C81" s="10"/>
      <c r="D81" s="10"/>
      <c r="E81" s="10"/>
      <c r="F81" s="10"/>
      <c r="G81" s="10"/>
      <c r="H81" s="24"/>
      <c r="I81" s="3"/>
    </row>
    <row r="82" spans="3:9" ht="14.25" customHeight="1" x14ac:dyDescent="0.3">
      <c r="H82" s="24"/>
    </row>
    <row r="83" spans="3:9" ht="15" customHeight="1" x14ac:dyDescent="0.3">
      <c r="C83" s="28"/>
      <c r="D83" s="28"/>
      <c r="E83" s="28"/>
      <c r="F83" s="28"/>
      <c r="G83" s="28"/>
      <c r="H83" s="24"/>
    </row>
    <row r="84" spans="3:9" ht="12" customHeight="1" x14ac:dyDescent="0.3">
      <c r="C84" s="25"/>
      <c r="D84" s="25"/>
      <c r="E84" s="25"/>
      <c r="F84" s="25"/>
      <c r="G84" s="25"/>
      <c r="H84" s="25"/>
    </row>
    <row r="85" spans="3:9" ht="12" customHeight="1" x14ac:dyDescent="0.3">
      <c r="C85" s="25"/>
      <c r="D85" s="25"/>
      <c r="E85" s="25"/>
      <c r="F85" s="25"/>
      <c r="G85" s="25"/>
      <c r="H85" s="25"/>
    </row>
    <row r="86" spans="3:9" ht="12" customHeight="1" x14ac:dyDescent="0.3">
      <c r="C86" s="25"/>
      <c r="D86" s="25"/>
      <c r="E86" s="25"/>
      <c r="F86" s="25"/>
      <c r="G86" s="25"/>
      <c r="H86" s="24"/>
    </row>
    <row r="87" spans="3:9" ht="12" customHeight="1" x14ac:dyDescent="0.3">
      <c r="C87" s="24"/>
      <c r="D87" s="24"/>
      <c r="E87" s="24"/>
      <c r="F87" s="24"/>
      <c r="G87" s="24"/>
      <c r="H87" s="24"/>
    </row>
    <row r="88" spans="3:9" ht="12" customHeight="1" x14ac:dyDescent="0.3">
      <c r="H88" s="29"/>
    </row>
    <row r="89" spans="3:9" ht="12" customHeight="1" x14ac:dyDescent="0.3">
      <c r="H89" s="23"/>
    </row>
    <row r="90" spans="3:9" ht="12" customHeight="1" x14ac:dyDescent="0.3">
      <c r="H90" s="25"/>
    </row>
    <row r="91" spans="3:9" ht="12" customHeight="1" x14ac:dyDescent="0.3">
      <c r="H91" s="25"/>
    </row>
    <row r="92" spans="3:9" ht="12" customHeight="1" x14ac:dyDescent="0.3">
      <c r="H92" s="25"/>
    </row>
    <row r="93" spans="3:9" ht="12" customHeight="1" x14ac:dyDescent="0.3">
      <c r="H93" s="25"/>
    </row>
    <row r="94" spans="3:9" ht="12" customHeight="1" x14ac:dyDescent="0.3">
      <c r="H94" s="25"/>
    </row>
    <row r="95" spans="3:9" ht="12" customHeight="1" x14ac:dyDescent="0.3">
      <c r="H95" s="24"/>
    </row>
    <row r="96" spans="3:9" ht="12" customHeight="1" x14ac:dyDescent="0.3">
      <c r="H96" s="25"/>
    </row>
    <row r="97" spans="8:8" ht="12" customHeight="1" x14ac:dyDescent="0.3">
      <c r="H97" s="24"/>
    </row>
    <row r="98" spans="8:8" ht="12" customHeight="1" x14ac:dyDescent="0.3">
      <c r="H98" s="10"/>
    </row>
    <row r="99" spans="8:8" ht="12" customHeight="1" x14ac:dyDescent="0.3"/>
    <row r="100" spans="8:8" ht="12" customHeight="1" x14ac:dyDescent="0.3">
      <c r="H100" s="28"/>
    </row>
    <row r="101" spans="8:8" ht="12" customHeight="1" x14ac:dyDescent="0.3">
      <c r="H101" s="25"/>
    </row>
    <row r="102" spans="8:8" ht="12" customHeight="1" x14ac:dyDescent="0.3">
      <c r="H102" s="25"/>
    </row>
    <row r="103" spans="8:8" ht="12" customHeight="1" x14ac:dyDescent="0.3">
      <c r="H103" s="25"/>
    </row>
    <row r="104" spans="8:8" ht="12" customHeight="1" x14ac:dyDescent="0.3">
      <c r="H104" s="24"/>
    </row>
    <row r="105" spans="8:8" ht="12" customHeight="1" x14ac:dyDescent="0.3"/>
    <row r="106" spans="8:8" ht="12" customHeight="1" x14ac:dyDescent="0.3"/>
    <row r="107" spans="8:8" ht="12" customHeight="1" x14ac:dyDescent="0.3"/>
    <row r="108" spans="8:8" ht="12" customHeight="1" x14ac:dyDescent="0.3"/>
    <row r="109" spans="8:8" ht="12" customHeight="1" x14ac:dyDescent="0.3"/>
    <row r="110" spans="8:8" ht="12" customHeight="1" x14ac:dyDescent="0.3"/>
    <row r="111" spans="8:8" ht="12" customHeight="1" x14ac:dyDescent="0.3"/>
    <row r="112" spans="8:8" ht="12" customHeight="1" x14ac:dyDescent="0.3"/>
    <row r="113" ht="12" customHeight="1" x14ac:dyDescent="0.3"/>
    <row r="114" ht="12" customHeight="1" x14ac:dyDescent="0.3"/>
    <row r="115" ht="12" customHeight="1" x14ac:dyDescent="0.3"/>
    <row r="116" ht="12" customHeight="1" x14ac:dyDescent="0.3"/>
    <row r="117" ht="12" customHeight="1" x14ac:dyDescent="0.3"/>
    <row r="118" ht="12" customHeight="1" x14ac:dyDescent="0.3"/>
    <row r="119" ht="12" customHeight="1" x14ac:dyDescent="0.3"/>
    <row r="120" ht="12" customHeight="1" x14ac:dyDescent="0.3"/>
    <row r="121" ht="12" customHeight="1" x14ac:dyDescent="0.3"/>
    <row r="122" ht="12" customHeight="1" x14ac:dyDescent="0.3"/>
    <row r="123" ht="12" customHeight="1" x14ac:dyDescent="0.3"/>
    <row r="124" ht="12" customHeight="1" x14ac:dyDescent="0.3"/>
    <row r="125" ht="12" customHeight="1" x14ac:dyDescent="0.3"/>
    <row r="126" ht="12" customHeight="1" x14ac:dyDescent="0.3"/>
    <row r="127" ht="12" customHeight="1" x14ac:dyDescent="0.3"/>
    <row r="128" ht="12" customHeight="1" x14ac:dyDescent="0.3"/>
    <row r="129" ht="12" customHeight="1" x14ac:dyDescent="0.3"/>
    <row r="130" ht="12" customHeight="1" x14ac:dyDescent="0.3"/>
    <row r="131" ht="12" customHeight="1" x14ac:dyDescent="0.3"/>
    <row r="132" ht="12" customHeight="1" x14ac:dyDescent="0.3"/>
    <row r="133" ht="12" customHeight="1" x14ac:dyDescent="0.3"/>
    <row r="134" ht="12" customHeight="1" x14ac:dyDescent="0.3"/>
    <row r="135" ht="12" customHeight="1" x14ac:dyDescent="0.3"/>
    <row r="136" ht="12" customHeight="1" x14ac:dyDescent="0.3"/>
    <row r="137" ht="12" customHeight="1" x14ac:dyDescent="0.3"/>
    <row r="138" ht="12" customHeight="1" x14ac:dyDescent="0.3"/>
    <row r="139" ht="12" customHeight="1" x14ac:dyDescent="0.3"/>
    <row r="140" ht="12" customHeight="1" x14ac:dyDescent="0.3"/>
    <row r="141" ht="12" customHeight="1" x14ac:dyDescent="0.3"/>
    <row r="142" ht="12" customHeight="1" x14ac:dyDescent="0.3"/>
    <row r="143" ht="12" customHeight="1" x14ac:dyDescent="0.3"/>
    <row r="144" ht="12" customHeight="1" x14ac:dyDescent="0.3"/>
    <row r="145" ht="12" customHeight="1" x14ac:dyDescent="0.3"/>
    <row r="146" ht="12" customHeight="1" x14ac:dyDescent="0.3"/>
    <row r="147" ht="12" customHeight="1" x14ac:dyDescent="0.3"/>
    <row r="148" ht="12" customHeight="1" x14ac:dyDescent="0.3"/>
    <row r="149" ht="12" customHeight="1" x14ac:dyDescent="0.3"/>
    <row r="150" ht="12" customHeight="1" x14ac:dyDescent="0.3"/>
    <row r="151" ht="12" customHeight="1" x14ac:dyDescent="0.3"/>
    <row r="152" ht="12" customHeight="1" x14ac:dyDescent="0.3"/>
    <row r="153" ht="12" customHeight="1" x14ac:dyDescent="0.3"/>
    <row r="154" ht="12" customHeight="1" x14ac:dyDescent="0.3"/>
    <row r="155" ht="12" customHeight="1" x14ac:dyDescent="0.3"/>
    <row r="156" ht="12" customHeight="1" x14ac:dyDescent="0.3"/>
    <row r="157" ht="12" customHeight="1" x14ac:dyDescent="0.3"/>
    <row r="158" ht="12" customHeight="1" x14ac:dyDescent="0.3"/>
    <row r="159" ht="12" customHeight="1" x14ac:dyDescent="0.3"/>
    <row r="160" ht="12" customHeight="1" x14ac:dyDescent="0.3"/>
    <row r="161" ht="12" customHeight="1" x14ac:dyDescent="0.3"/>
    <row r="162" ht="12" customHeight="1" x14ac:dyDescent="0.3"/>
    <row r="163" ht="12" customHeight="1" x14ac:dyDescent="0.3"/>
    <row r="164" ht="12" customHeight="1" x14ac:dyDescent="0.3"/>
    <row r="165" ht="12" customHeight="1" x14ac:dyDescent="0.3"/>
    <row r="166" ht="12" customHeight="1" x14ac:dyDescent="0.3"/>
    <row r="167" ht="12" customHeight="1" x14ac:dyDescent="0.3"/>
    <row r="168" ht="12" customHeight="1" x14ac:dyDescent="0.3"/>
    <row r="169" ht="12" customHeight="1" x14ac:dyDescent="0.3"/>
    <row r="170" ht="12" customHeight="1" x14ac:dyDescent="0.3"/>
    <row r="171" ht="12" customHeight="1" x14ac:dyDescent="0.3"/>
    <row r="172" ht="12" customHeight="1" x14ac:dyDescent="0.3"/>
    <row r="173" ht="12" customHeight="1" x14ac:dyDescent="0.3"/>
    <row r="174" ht="12" customHeight="1" x14ac:dyDescent="0.3"/>
    <row r="175" ht="12" customHeight="1" x14ac:dyDescent="0.3"/>
    <row r="176" ht="12" customHeight="1" x14ac:dyDescent="0.3"/>
    <row r="177" ht="12" customHeight="1" x14ac:dyDescent="0.3"/>
    <row r="178" ht="12" customHeight="1" x14ac:dyDescent="0.3"/>
    <row r="179" ht="12" customHeight="1" x14ac:dyDescent="0.3"/>
    <row r="180" ht="12" customHeight="1" x14ac:dyDescent="0.3"/>
    <row r="181" ht="12" customHeight="1" x14ac:dyDescent="0.3"/>
    <row r="182" ht="12" customHeight="1" x14ac:dyDescent="0.3"/>
    <row r="183" ht="12" customHeight="1" x14ac:dyDescent="0.3"/>
    <row r="184" ht="12" customHeight="1" x14ac:dyDescent="0.3"/>
    <row r="185" ht="12" customHeight="1" x14ac:dyDescent="0.3"/>
    <row r="186" ht="12" customHeight="1" x14ac:dyDescent="0.3"/>
    <row r="187" ht="12" customHeight="1" x14ac:dyDescent="0.3"/>
    <row r="188" ht="12" customHeight="1" x14ac:dyDescent="0.3"/>
    <row r="189" ht="12" customHeight="1" x14ac:dyDescent="0.3"/>
    <row r="190" ht="12" customHeight="1" x14ac:dyDescent="0.3"/>
    <row r="191" ht="12" customHeight="1" x14ac:dyDescent="0.3"/>
    <row r="192" ht="12" customHeight="1" x14ac:dyDescent="0.3"/>
    <row r="193" ht="12" customHeight="1" x14ac:dyDescent="0.3"/>
    <row r="194" ht="12" customHeight="1" x14ac:dyDescent="0.3"/>
    <row r="195" ht="12" customHeight="1" x14ac:dyDescent="0.3"/>
    <row r="196" ht="12" customHeight="1" x14ac:dyDescent="0.3"/>
    <row r="197" ht="12" customHeight="1" x14ac:dyDescent="0.3"/>
    <row r="198" ht="12" customHeight="1" x14ac:dyDescent="0.3"/>
    <row r="199" ht="12" customHeight="1" x14ac:dyDescent="0.3"/>
    <row r="200" ht="12" customHeight="1" x14ac:dyDescent="0.3"/>
    <row r="201" ht="12" customHeight="1" x14ac:dyDescent="0.3"/>
    <row r="202" ht="12" customHeight="1" x14ac:dyDescent="0.3"/>
    <row r="203" ht="12" customHeight="1" x14ac:dyDescent="0.3"/>
    <row r="204" ht="12" customHeight="1" x14ac:dyDescent="0.3"/>
    <row r="205" ht="12" customHeight="1" x14ac:dyDescent="0.3"/>
    <row r="206" ht="12" customHeight="1" x14ac:dyDescent="0.3"/>
    <row r="207" ht="12" customHeight="1" x14ac:dyDescent="0.3"/>
    <row r="208" ht="12" customHeight="1" x14ac:dyDescent="0.3"/>
    <row r="209" ht="12" customHeight="1" x14ac:dyDescent="0.3"/>
    <row r="210" ht="12" customHeight="1" x14ac:dyDescent="0.3"/>
    <row r="211" ht="12" customHeight="1" x14ac:dyDescent="0.3"/>
    <row r="212" ht="12" customHeight="1" x14ac:dyDescent="0.3"/>
    <row r="213" ht="12" customHeight="1" x14ac:dyDescent="0.3"/>
    <row r="214" ht="12" customHeight="1" x14ac:dyDescent="0.3"/>
    <row r="215" ht="12" customHeight="1" x14ac:dyDescent="0.3"/>
    <row r="216" ht="12" customHeight="1" x14ac:dyDescent="0.3"/>
    <row r="217" ht="12" customHeight="1" x14ac:dyDescent="0.3"/>
    <row r="218" ht="12" customHeight="1" x14ac:dyDescent="0.3"/>
    <row r="219" ht="12" customHeight="1" x14ac:dyDescent="0.3"/>
    <row r="220" ht="12" customHeight="1" x14ac:dyDescent="0.3"/>
    <row r="221" ht="12" customHeight="1" x14ac:dyDescent="0.3"/>
    <row r="222" ht="12" customHeight="1" x14ac:dyDescent="0.3"/>
    <row r="223" ht="12" customHeight="1" x14ac:dyDescent="0.3"/>
    <row r="224" ht="12" customHeight="1" x14ac:dyDescent="0.3"/>
    <row r="225" ht="12" customHeight="1" x14ac:dyDescent="0.3"/>
    <row r="226" ht="12" customHeight="1" x14ac:dyDescent="0.3"/>
    <row r="227" ht="12" customHeight="1" x14ac:dyDescent="0.3"/>
    <row r="228" ht="12" customHeight="1" x14ac:dyDescent="0.3"/>
    <row r="229" ht="12" customHeight="1" x14ac:dyDescent="0.3"/>
    <row r="230" ht="12" customHeight="1" x14ac:dyDescent="0.3"/>
    <row r="231" ht="12" customHeight="1" x14ac:dyDescent="0.3"/>
    <row r="232" ht="12" customHeight="1" x14ac:dyDescent="0.3"/>
    <row r="233" ht="12" customHeight="1" x14ac:dyDescent="0.3"/>
    <row r="234" ht="12" customHeight="1" x14ac:dyDescent="0.3"/>
    <row r="235" ht="12" customHeight="1" x14ac:dyDescent="0.3"/>
    <row r="236" ht="12" customHeight="1" x14ac:dyDescent="0.3"/>
    <row r="237" ht="12" customHeight="1" x14ac:dyDescent="0.3"/>
    <row r="238" ht="12" customHeight="1" x14ac:dyDescent="0.3"/>
    <row r="239" ht="12" customHeight="1" x14ac:dyDescent="0.3"/>
    <row r="240" ht="12" customHeight="1" x14ac:dyDescent="0.3"/>
    <row r="241" ht="12" customHeight="1" x14ac:dyDescent="0.3"/>
    <row r="242" ht="12" customHeight="1" x14ac:dyDescent="0.3"/>
    <row r="243" ht="12" customHeight="1" x14ac:dyDescent="0.3"/>
    <row r="244" ht="12" customHeight="1" x14ac:dyDescent="0.3"/>
    <row r="245" ht="12" customHeight="1" x14ac:dyDescent="0.3"/>
    <row r="246" ht="12" customHeight="1" x14ac:dyDescent="0.3"/>
    <row r="247" ht="12" customHeight="1" x14ac:dyDescent="0.3"/>
    <row r="248" ht="12" customHeight="1" x14ac:dyDescent="0.3"/>
    <row r="249" ht="12" customHeight="1" x14ac:dyDescent="0.3"/>
    <row r="250" ht="12" customHeight="1" x14ac:dyDescent="0.3"/>
    <row r="251" ht="12" customHeight="1" x14ac:dyDescent="0.3"/>
    <row r="252" ht="12" customHeight="1" x14ac:dyDescent="0.3"/>
    <row r="253" ht="12" customHeight="1" x14ac:dyDescent="0.3"/>
    <row r="254" ht="12" customHeight="1" x14ac:dyDescent="0.3"/>
    <row r="255" ht="12" customHeight="1" x14ac:dyDescent="0.3"/>
    <row r="256" ht="12" customHeight="1" x14ac:dyDescent="0.3"/>
    <row r="257" ht="12" customHeight="1" x14ac:dyDescent="0.3"/>
    <row r="258" ht="12" customHeight="1" x14ac:dyDescent="0.3"/>
    <row r="259" ht="12" customHeight="1" x14ac:dyDescent="0.3"/>
    <row r="260" ht="12" customHeight="1" x14ac:dyDescent="0.3"/>
    <row r="261" ht="12" customHeight="1" x14ac:dyDescent="0.3"/>
    <row r="262" ht="12" customHeight="1" x14ac:dyDescent="0.3"/>
    <row r="263" ht="12" customHeight="1" x14ac:dyDescent="0.3"/>
    <row r="264" ht="12" customHeight="1" x14ac:dyDescent="0.3"/>
    <row r="265" ht="12" customHeight="1" x14ac:dyDescent="0.3"/>
    <row r="266" ht="12" customHeight="1" x14ac:dyDescent="0.3"/>
    <row r="267" ht="12" customHeight="1" x14ac:dyDescent="0.3"/>
    <row r="268" ht="12" customHeight="1" x14ac:dyDescent="0.3"/>
    <row r="269" ht="12" customHeight="1" x14ac:dyDescent="0.3"/>
    <row r="270" ht="12" customHeight="1" x14ac:dyDescent="0.3"/>
    <row r="271" ht="12" customHeight="1" x14ac:dyDescent="0.3"/>
    <row r="272" ht="12" customHeight="1" x14ac:dyDescent="0.3"/>
    <row r="273" ht="12" customHeight="1" x14ac:dyDescent="0.3"/>
    <row r="274" ht="12" customHeight="1" x14ac:dyDescent="0.3"/>
    <row r="275" ht="12" customHeight="1" x14ac:dyDescent="0.3"/>
    <row r="276" ht="12" customHeight="1" x14ac:dyDescent="0.3"/>
    <row r="277" ht="12" customHeight="1" x14ac:dyDescent="0.3"/>
    <row r="278" ht="12" customHeight="1" x14ac:dyDescent="0.3"/>
    <row r="279" ht="12" customHeight="1" x14ac:dyDescent="0.3"/>
    <row r="280" ht="12" customHeight="1" x14ac:dyDescent="0.3"/>
    <row r="281" ht="12" customHeight="1" x14ac:dyDescent="0.3"/>
    <row r="282" ht="12" customHeight="1" x14ac:dyDescent="0.3"/>
    <row r="283" ht="12" customHeight="1" x14ac:dyDescent="0.3"/>
    <row r="284" ht="12" customHeight="1" x14ac:dyDescent="0.3"/>
    <row r="285" ht="12" customHeight="1" x14ac:dyDescent="0.3"/>
    <row r="286" ht="12" customHeight="1" x14ac:dyDescent="0.3"/>
    <row r="287" ht="12" customHeight="1" x14ac:dyDescent="0.3"/>
    <row r="288" ht="12" customHeight="1" x14ac:dyDescent="0.3"/>
    <row r="289" ht="12" customHeight="1" x14ac:dyDescent="0.3"/>
    <row r="290" ht="12" customHeight="1" x14ac:dyDescent="0.3"/>
    <row r="291" ht="12" customHeight="1" x14ac:dyDescent="0.3"/>
    <row r="292" ht="12" customHeight="1" x14ac:dyDescent="0.3"/>
    <row r="293" ht="12" customHeight="1" x14ac:dyDescent="0.3"/>
    <row r="294" ht="12" customHeight="1" x14ac:dyDescent="0.3"/>
    <row r="295" ht="12" customHeight="1" x14ac:dyDescent="0.3"/>
    <row r="296" ht="12" customHeight="1" x14ac:dyDescent="0.3"/>
    <row r="297" ht="12" customHeight="1" x14ac:dyDescent="0.3"/>
    <row r="298" ht="12" customHeight="1" x14ac:dyDescent="0.3"/>
    <row r="299" ht="12" customHeight="1" x14ac:dyDescent="0.3"/>
    <row r="300" ht="12" customHeight="1" x14ac:dyDescent="0.3"/>
    <row r="301" ht="12" customHeight="1" x14ac:dyDescent="0.3"/>
    <row r="302" ht="12" customHeight="1" x14ac:dyDescent="0.3"/>
    <row r="303" ht="12" customHeight="1" x14ac:dyDescent="0.3"/>
    <row r="304" ht="12" customHeight="1" x14ac:dyDescent="0.3"/>
    <row r="305" ht="12" customHeight="1" x14ac:dyDescent="0.3"/>
    <row r="306" ht="12" customHeight="1" x14ac:dyDescent="0.3"/>
    <row r="307" ht="12" customHeight="1" x14ac:dyDescent="0.3"/>
    <row r="308" ht="12" customHeight="1" x14ac:dyDescent="0.3"/>
    <row r="309" ht="12" customHeight="1" x14ac:dyDescent="0.3"/>
    <row r="310" ht="12" customHeight="1" x14ac:dyDescent="0.3"/>
    <row r="311" ht="12" customHeight="1" x14ac:dyDescent="0.3"/>
    <row r="312" ht="12" customHeight="1" x14ac:dyDescent="0.3"/>
    <row r="313" ht="12" customHeight="1" x14ac:dyDescent="0.3"/>
    <row r="314" ht="12" customHeight="1" x14ac:dyDescent="0.3"/>
    <row r="315" ht="12" customHeight="1" x14ac:dyDescent="0.3"/>
    <row r="316" ht="12" customHeight="1" x14ac:dyDescent="0.3"/>
    <row r="317" ht="12" customHeight="1" x14ac:dyDescent="0.3"/>
    <row r="318" ht="12" customHeight="1" x14ac:dyDescent="0.3"/>
    <row r="319" ht="12" customHeight="1" x14ac:dyDescent="0.3"/>
    <row r="320" ht="12" customHeight="1" x14ac:dyDescent="0.3"/>
    <row r="321" ht="12" customHeight="1" x14ac:dyDescent="0.3"/>
    <row r="322" ht="12" customHeight="1" x14ac:dyDescent="0.3"/>
    <row r="323" ht="12" customHeight="1" x14ac:dyDescent="0.3"/>
    <row r="324" ht="12" customHeight="1" x14ac:dyDescent="0.3"/>
    <row r="325" ht="12" customHeight="1" x14ac:dyDescent="0.3"/>
    <row r="326" ht="12" customHeight="1" x14ac:dyDescent="0.3"/>
    <row r="327" ht="12" customHeight="1" x14ac:dyDescent="0.3"/>
    <row r="328" ht="12" customHeight="1" x14ac:dyDescent="0.3"/>
    <row r="329" ht="12" customHeight="1" x14ac:dyDescent="0.3"/>
    <row r="330" ht="12" customHeight="1" x14ac:dyDescent="0.3"/>
    <row r="331" ht="12" customHeight="1" x14ac:dyDescent="0.3"/>
    <row r="332" ht="12" customHeight="1" x14ac:dyDescent="0.3"/>
    <row r="333" ht="12" customHeight="1" x14ac:dyDescent="0.3"/>
    <row r="334" ht="12" customHeight="1" x14ac:dyDescent="0.3"/>
    <row r="335" ht="12" customHeight="1" x14ac:dyDescent="0.3"/>
    <row r="336" ht="12" customHeight="1" x14ac:dyDescent="0.3"/>
    <row r="337" ht="12" customHeight="1" x14ac:dyDescent="0.3"/>
    <row r="338" ht="12" customHeight="1" x14ac:dyDescent="0.3"/>
    <row r="339" ht="12" customHeight="1" x14ac:dyDescent="0.3"/>
    <row r="340" ht="12" customHeight="1" x14ac:dyDescent="0.3"/>
    <row r="341" ht="12" customHeight="1" x14ac:dyDescent="0.3"/>
    <row r="342" ht="12" customHeight="1" x14ac:dyDescent="0.3"/>
    <row r="343" ht="12" customHeight="1" x14ac:dyDescent="0.3"/>
    <row r="344" ht="12" customHeight="1" x14ac:dyDescent="0.3"/>
    <row r="345" ht="12" customHeight="1" x14ac:dyDescent="0.3"/>
    <row r="346" ht="12" customHeight="1" x14ac:dyDescent="0.3"/>
    <row r="347" ht="12" customHeight="1" x14ac:dyDescent="0.3"/>
    <row r="348" ht="12" customHeight="1" x14ac:dyDescent="0.3"/>
    <row r="349" ht="12" customHeight="1" x14ac:dyDescent="0.3"/>
    <row r="350" ht="12" customHeight="1" x14ac:dyDescent="0.3"/>
    <row r="351" ht="12" customHeight="1" x14ac:dyDescent="0.3"/>
    <row r="352" ht="12" customHeight="1" x14ac:dyDescent="0.3"/>
    <row r="353" ht="12" customHeight="1" x14ac:dyDescent="0.3"/>
    <row r="354" ht="12" customHeight="1" x14ac:dyDescent="0.3"/>
    <row r="355" ht="12" customHeight="1" x14ac:dyDescent="0.3"/>
    <row r="356" ht="12" customHeight="1" x14ac:dyDescent="0.3"/>
    <row r="357" ht="12" customHeight="1" x14ac:dyDescent="0.3"/>
    <row r="358" ht="12" customHeight="1" x14ac:dyDescent="0.3"/>
    <row r="359" ht="12" customHeight="1" x14ac:dyDescent="0.3"/>
    <row r="360" ht="12" customHeight="1" x14ac:dyDescent="0.3"/>
    <row r="361" ht="12" customHeight="1" x14ac:dyDescent="0.3"/>
    <row r="362" ht="12" customHeight="1" x14ac:dyDescent="0.3"/>
    <row r="363" ht="12" customHeight="1" x14ac:dyDescent="0.3"/>
    <row r="364" ht="12" customHeight="1" x14ac:dyDescent="0.3"/>
    <row r="365" ht="12" customHeight="1" x14ac:dyDescent="0.3"/>
    <row r="366" ht="12" customHeight="1" x14ac:dyDescent="0.3"/>
    <row r="367" ht="12" customHeight="1" x14ac:dyDescent="0.3"/>
    <row r="368" ht="12" customHeight="1" x14ac:dyDescent="0.3"/>
    <row r="369" ht="12" customHeight="1" x14ac:dyDescent="0.3"/>
    <row r="370" ht="12" customHeight="1" x14ac:dyDescent="0.3"/>
    <row r="371" ht="12" customHeight="1" x14ac:dyDescent="0.3"/>
    <row r="372" ht="12" customHeight="1" x14ac:dyDescent="0.3"/>
    <row r="373" ht="12" customHeight="1" x14ac:dyDescent="0.3"/>
    <row r="374" ht="12" customHeight="1" x14ac:dyDescent="0.3"/>
    <row r="375" ht="12" customHeight="1" x14ac:dyDescent="0.3"/>
    <row r="376" ht="12" customHeight="1" x14ac:dyDescent="0.3"/>
    <row r="377" ht="12" customHeight="1" x14ac:dyDescent="0.3"/>
    <row r="378" ht="12" customHeight="1" x14ac:dyDescent="0.3"/>
    <row r="379" ht="12" customHeight="1" x14ac:dyDescent="0.3"/>
    <row r="380" ht="12" customHeight="1" x14ac:dyDescent="0.3"/>
    <row r="381" ht="12" customHeight="1" x14ac:dyDescent="0.3"/>
    <row r="382" ht="12" customHeight="1" x14ac:dyDescent="0.3"/>
    <row r="383" ht="12" customHeight="1" x14ac:dyDescent="0.3"/>
    <row r="384" ht="12" customHeight="1" x14ac:dyDescent="0.3"/>
    <row r="385" ht="12" customHeight="1" x14ac:dyDescent="0.3"/>
    <row r="386" ht="12" customHeight="1" x14ac:dyDescent="0.3"/>
    <row r="387" ht="12" customHeight="1" x14ac:dyDescent="0.3"/>
    <row r="388" ht="12" customHeight="1" x14ac:dyDescent="0.3"/>
    <row r="389" ht="12" customHeight="1" x14ac:dyDescent="0.3"/>
    <row r="390" ht="12" customHeight="1" x14ac:dyDescent="0.3"/>
    <row r="391" ht="12" customHeight="1" x14ac:dyDescent="0.3"/>
    <row r="392" ht="12" customHeight="1" x14ac:dyDescent="0.3"/>
    <row r="393" ht="12" customHeight="1" x14ac:dyDescent="0.3"/>
    <row r="394" ht="12" customHeight="1" x14ac:dyDescent="0.3"/>
    <row r="395" ht="12" customHeight="1" x14ac:dyDescent="0.3"/>
    <row r="396" ht="12" customHeight="1" x14ac:dyDescent="0.3"/>
    <row r="397" ht="12" customHeight="1" x14ac:dyDescent="0.3"/>
    <row r="398" ht="12" customHeight="1" x14ac:dyDescent="0.3"/>
    <row r="399" ht="12" customHeight="1" x14ac:dyDescent="0.3"/>
    <row r="400" ht="12" customHeight="1" x14ac:dyDescent="0.3"/>
    <row r="401" ht="12" customHeight="1" x14ac:dyDescent="0.3"/>
    <row r="402" ht="12" customHeight="1" x14ac:dyDescent="0.3"/>
    <row r="403" ht="12" customHeight="1" x14ac:dyDescent="0.3"/>
    <row r="404" ht="12" customHeight="1" x14ac:dyDescent="0.3"/>
    <row r="405" ht="12" customHeight="1" x14ac:dyDescent="0.3"/>
    <row r="406" ht="12" customHeight="1" x14ac:dyDescent="0.3"/>
    <row r="407" ht="12" customHeight="1" x14ac:dyDescent="0.3"/>
    <row r="408" ht="12" customHeight="1" x14ac:dyDescent="0.3"/>
    <row r="409" ht="12" customHeight="1" x14ac:dyDescent="0.3"/>
    <row r="410" ht="12" customHeight="1" x14ac:dyDescent="0.3"/>
    <row r="411" ht="12" customHeight="1" x14ac:dyDescent="0.3"/>
    <row r="412" ht="12" customHeight="1" x14ac:dyDescent="0.3"/>
    <row r="413" ht="12" customHeight="1" x14ac:dyDescent="0.3"/>
    <row r="414" ht="12" customHeight="1" x14ac:dyDescent="0.3"/>
    <row r="415" ht="12" customHeight="1" x14ac:dyDescent="0.3"/>
    <row r="416" ht="12" customHeight="1" x14ac:dyDescent="0.3"/>
    <row r="417" ht="12" customHeight="1" x14ac:dyDescent="0.3"/>
    <row r="418" ht="12" customHeight="1" x14ac:dyDescent="0.3"/>
    <row r="419" ht="12" customHeight="1" x14ac:dyDescent="0.3"/>
    <row r="420" ht="12" customHeight="1" x14ac:dyDescent="0.3"/>
    <row r="421" ht="12" customHeight="1" x14ac:dyDescent="0.3"/>
    <row r="422" ht="12" customHeight="1" x14ac:dyDescent="0.3"/>
    <row r="423" ht="12" customHeight="1" x14ac:dyDescent="0.3"/>
    <row r="424" ht="12" customHeight="1" x14ac:dyDescent="0.3"/>
    <row r="425" ht="12" customHeight="1" x14ac:dyDescent="0.3"/>
    <row r="426" ht="12" customHeight="1" x14ac:dyDescent="0.3"/>
    <row r="427" ht="12" customHeight="1" x14ac:dyDescent="0.3"/>
    <row r="428" ht="12" customHeight="1" x14ac:dyDescent="0.3"/>
    <row r="429" ht="12" customHeight="1" x14ac:dyDescent="0.3"/>
    <row r="430" ht="12" customHeight="1" x14ac:dyDescent="0.3"/>
    <row r="431" ht="12" customHeight="1" x14ac:dyDescent="0.3"/>
    <row r="432" ht="12" customHeight="1" x14ac:dyDescent="0.3"/>
    <row r="433" ht="12" customHeight="1" x14ac:dyDescent="0.3"/>
    <row r="434" ht="12" customHeight="1" x14ac:dyDescent="0.3"/>
    <row r="435" ht="12" customHeight="1" x14ac:dyDescent="0.3"/>
    <row r="436" ht="12" customHeight="1" x14ac:dyDescent="0.3"/>
    <row r="437" ht="12" customHeight="1" x14ac:dyDescent="0.3"/>
    <row r="438" ht="12" customHeight="1" x14ac:dyDescent="0.3"/>
    <row r="439" ht="12" customHeight="1" x14ac:dyDescent="0.3"/>
    <row r="440" ht="12" customHeight="1" x14ac:dyDescent="0.3"/>
    <row r="441" ht="12" customHeight="1" x14ac:dyDescent="0.3"/>
    <row r="442" ht="12" customHeight="1" x14ac:dyDescent="0.3"/>
    <row r="443" ht="12" customHeight="1" x14ac:dyDescent="0.3"/>
    <row r="444" ht="12" customHeight="1" x14ac:dyDescent="0.3"/>
    <row r="445" ht="12" customHeight="1" x14ac:dyDescent="0.3"/>
    <row r="446" ht="12" customHeight="1" x14ac:dyDescent="0.3"/>
    <row r="447" ht="12" customHeight="1" x14ac:dyDescent="0.3"/>
    <row r="448" ht="12" customHeight="1" x14ac:dyDescent="0.3"/>
    <row r="449" ht="12" customHeight="1" x14ac:dyDescent="0.3"/>
    <row r="450" ht="12" customHeight="1" x14ac:dyDescent="0.3"/>
    <row r="451" ht="12" customHeight="1" x14ac:dyDescent="0.3"/>
    <row r="452" ht="12" customHeight="1" x14ac:dyDescent="0.3"/>
    <row r="453" ht="12" customHeight="1" x14ac:dyDescent="0.3"/>
    <row r="454" ht="12" customHeight="1" x14ac:dyDescent="0.3"/>
    <row r="455" ht="12" customHeight="1" x14ac:dyDescent="0.3"/>
    <row r="456" ht="12" customHeight="1" x14ac:dyDescent="0.3"/>
    <row r="457" ht="12" customHeight="1" x14ac:dyDescent="0.3"/>
    <row r="458" ht="12" customHeight="1" x14ac:dyDescent="0.3"/>
    <row r="459" ht="12" customHeight="1" x14ac:dyDescent="0.3"/>
    <row r="460" ht="12" customHeight="1" x14ac:dyDescent="0.3"/>
    <row r="461" ht="12" customHeight="1" x14ac:dyDescent="0.3"/>
    <row r="462" ht="12" customHeight="1" x14ac:dyDescent="0.3"/>
    <row r="463" ht="12" customHeight="1" x14ac:dyDescent="0.3"/>
    <row r="464" ht="12" customHeight="1" x14ac:dyDescent="0.3"/>
    <row r="465" ht="12" customHeight="1" x14ac:dyDescent="0.3"/>
    <row r="466" ht="12" customHeight="1" x14ac:dyDescent="0.3"/>
    <row r="467" ht="12" customHeight="1" x14ac:dyDescent="0.3"/>
    <row r="468" ht="12" customHeight="1" x14ac:dyDescent="0.3"/>
    <row r="469" ht="12" customHeight="1" x14ac:dyDescent="0.3"/>
    <row r="470" ht="12" customHeight="1" x14ac:dyDescent="0.3"/>
    <row r="471" ht="12" customHeight="1" x14ac:dyDescent="0.3"/>
    <row r="472" ht="12" customHeight="1" x14ac:dyDescent="0.3"/>
    <row r="473" ht="12" customHeight="1" x14ac:dyDescent="0.3"/>
    <row r="474" ht="12" customHeight="1" x14ac:dyDescent="0.3"/>
    <row r="475" ht="12" customHeight="1" x14ac:dyDescent="0.3"/>
    <row r="476" ht="12" customHeight="1" x14ac:dyDescent="0.3"/>
    <row r="477" ht="12" customHeight="1" x14ac:dyDescent="0.3"/>
    <row r="478" ht="12" customHeight="1" x14ac:dyDescent="0.3"/>
    <row r="479" ht="12" customHeight="1" x14ac:dyDescent="0.3"/>
    <row r="480" ht="12" customHeight="1" x14ac:dyDescent="0.3"/>
    <row r="481" ht="12" customHeight="1" x14ac:dyDescent="0.3"/>
    <row r="482" ht="12" customHeight="1" x14ac:dyDescent="0.3"/>
    <row r="483" ht="12" customHeight="1" x14ac:dyDescent="0.3"/>
    <row r="484" ht="12" customHeight="1" x14ac:dyDescent="0.3"/>
    <row r="485" ht="12" customHeight="1" x14ac:dyDescent="0.3"/>
    <row r="486" ht="12" customHeight="1" x14ac:dyDescent="0.3"/>
    <row r="487" ht="12" customHeight="1" x14ac:dyDescent="0.3"/>
    <row r="488" ht="12" customHeight="1" x14ac:dyDescent="0.3"/>
    <row r="489" ht="12" customHeight="1" x14ac:dyDescent="0.3"/>
    <row r="490" ht="12" customHeight="1" x14ac:dyDescent="0.3"/>
    <row r="491" ht="12" customHeight="1" x14ac:dyDescent="0.3"/>
    <row r="492" ht="12" customHeight="1" x14ac:dyDescent="0.3"/>
    <row r="493" ht="12" customHeight="1" x14ac:dyDescent="0.3"/>
    <row r="494" ht="12" customHeight="1" x14ac:dyDescent="0.3"/>
    <row r="495" ht="12" customHeight="1" x14ac:dyDescent="0.3"/>
    <row r="496" ht="12" customHeight="1" x14ac:dyDescent="0.3"/>
    <row r="497" ht="12" customHeight="1" x14ac:dyDescent="0.3"/>
    <row r="498" ht="12" customHeight="1" x14ac:dyDescent="0.3"/>
    <row r="499" ht="12" customHeight="1" x14ac:dyDescent="0.3"/>
    <row r="500" ht="12" customHeight="1" x14ac:dyDescent="0.3"/>
    <row r="501" ht="12" customHeight="1" x14ac:dyDescent="0.3"/>
    <row r="502" ht="12" customHeight="1" x14ac:dyDescent="0.3"/>
    <row r="503" ht="12" customHeight="1" x14ac:dyDescent="0.3"/>
    <row r="504" ht="12" customHeight="1" x14ac:dyDescent="0.3"/>
    <row r="505" ht="12" customHeight="1" x14ac:dyDescent="0.3"/>
    <row r="506" ht="12" customHeight="1" x14ac:dyDescent="0.3"/>
    <row r="507" ht="12" customHeight="1" x14ac:dyDescent="0.3"/>
    <row r="508" ht="12" customHeight="1" x14ac:dyDescent="0.3"/>
    <row r="509" ht="12" customHeight="1" x14ac:dyDescent="0.3"/>
    <row r="510" ht="12" customHeight="1" x14ac:dyDescent="0.3"/>
    <row r="511" ht="12" customHeight="1" x14ac:dyDescent="0.3"/>
    <row r="512" ht="12" customHeight="1" x14ac:dyDescent="0.3"/>
    <row r="513" ht="12" customHeight="1" x14ac:dyDescent="0.3"/>
    <row r="514" ht="12" customHeight="1" x14ac:dyDescent="0.3"/>
    <row r="515" ht="12" customHeight="1" x14ac:dyDescent="0.3"/>
    <row r="516" ht="12" customHeight="1" x14ac:dyDescent="0.3"/>
    <row r="517" ht="12" customHeight="1" x14ac:dyDescent="0.3"/>
    <row r="518" ht="12" customHeight="1" x14ac:dyDescent="0.3"/>
    <row r="519" ht="12" customHeight="1" x14ac:dyDescent="0.3"/>
    <row r="520" ht="12" customHeight="1" x14ac:dyDescent="0.3"/>
    <row r="521" ht="12" customHeight="1" x14ac:dyDescent="0.3"/>
    <row r="522" ht="12" customHeight="1" x14ac:dyDescent="0.3"/>
    <row r="523" ht="12" customHeight="1" x14ac:dyDescent="0.3"/>
    <row r="524" ht="12" customHeight="1" x14ac:dyDescent="0.3"/>
    <row r="525" ht="12" customHeight="1" x14ac:dyDescent="0.3"/>
    <row r="526" ht="12" customHeight="1" x14ac:dyDescent="0.3"/>
    <row r="527" ht="12" customHeight="1" x14ac:dyDescent="0.3"/>
    <row r="528" ht="12" customHeight="1" x14ac:dyDescent="0.3"/>
    <row r="529" ht="12" customHeight="1" x14ac:dyDescent="0.3"/>
    <row r="530" ht="12" customHeight="1" x14ac:dyDescent="0.3"/>
    <row r="531" ht="12" customHeight="1" x14ac:dyDescent="0.3"/>
    <row r="532" ht="12" customHeight="1" x14ac:dyDescent="0.3"/>
    <row r="533" ht="12" customHeight="1" x14ac:dyDescent="0.3"/>
    <row r="534" ht="12" customHeight="1" x14ac:dyDescent="0.3"/>
    <row r="535" ht="12" customHeight="1" x14ac:dyDescent="0.3"/>
    <row r="536" ht="12" customHeight="1" x14ac:dyDescent="0.3"/>
    <row r="537" ht="12" customHeight="1" x14ac:dyDescent="0.3"/>
    <row r="538" ht="12" customHeight="1" x14ac:dyDescent="0.3"/>
    <row r="539" ht="12" customHeight="1" x14ac:dyDescent="0.3"/>
    <row r="540" ht="12" customHeight="1" x14ac:dyDescent="0.3"/>
    <row r="541" ht="12" customHeight="1" x14ac:dyDescent="0.3"/>
    <row r="542" ht="12" customHeight="1" x14ac:dyDescent="0.3"/>
    <row r="543" ht="12" customHeight="1" x14ac:dyDescent="0.3"/>
    <row r="544" ht="12" customHeight="1" x14ac:dyDescent="0.3"/>
    <row r="545" ht="12" customHeight="1" x14ac:dyDescent="0.3"/>
    <row r="546" ht="12" customHeight="1" x14ac:dyDescent="0.3"/>
    <row r="547" ht="12" customHeight="1" x14ac:dyDescent="0.3"/>
    <row r="548" ht="12" customHeight="1" x14ac:dyDescent="0.3"/>
    <row r="549" ht="12" customHeight="1" x14ac:dyDescent="0.3"/>
    <row r="550" ht="12" customHeight="1" x14ac:dyDescent="0.3"/>
    <row r="551" ht="12" customHeight="1" x14ac:dyDescent="0.3"/>
    <row r="552" ht="12" customHeight="1" x14ac:dyDescent="0.3"/>
    <row r="553" ht="12" customHeight="1" x14ac:dyDescent="0.3"/>
    <row r="554" ht="12" customHeight="1" x14ac:dyDescent="0.3"/>
    <row r="555" ht="12" customHeight="1" x14ac:dyDescent="0.3"/>
    <row r="556" ht="12" customHeight="1" x14ac:dyDescent="0.3"/>
    <row r="557" ht="12" customHeight="1" x14ac:dyDescent="0.3"/>
    <row r="558" ht="12" customHeight="1" x14ac:dyDescent="0.3"/>
    <row r="559" ht="12" customHeight="1" x14ac:dyDescent="0.3"/>
    <row r="560" ht="12" customHeight="1" x14ac:dyDescent="0.3"/>
    <row r="561" ht="12" customHeight="1" x14ac:dyDescent="0.3"/>
    <row r="562" ht="12" customHeight="1" x14ac:dyDescent="0.3"/>
    <row r="563" ht="12" customHeight="1" x14ac:dyDescent="0.3"/>
    <row r="564" ht="12" customHeight="1" x14ac:dyDescent="0.3"/>
    <row r="565" ht="12" customHeight="1" x14ac:dyDescent="0.3"/>
    <row r="566" ht="12" customHeight="1" x14ac:dyDescent="0.3"/>
    <row r="567" ht="12" customHeight="1" x14ac:dyDescent="0.3"/>
    <row r="568" ht="12" customHeight="1" x14ac:dyDescent="0.3"/>
    <row r="569" ht="12" customHeight="1" x14ac:dyDescent="0.3"/>
    <row r="570" ht="12" customHeight="1" x14ac:dyDescent="0.3"/>
    <row r="571" ht="12" customHeight="1" x14ac:dyDescent="0.3"/>
    <row r="572" ht="12" customHeight="1" x14ac:dyDescent="0.3"/>
    <row r="573" ht="12" customHeight="1" x14ac:dyDescent="0.3"/>
    <row r="574" ht="12" customHeight="1" x14ac:dyDescent="0.3"/>
    <row r="575" ht="12" customHeight="1" x14ac:dyDescent="0.3"/>
    <row r="576" ht="12" customHeight="1" x14ac:dyDescent="0.3"/>
    <row r="577" ht="12" customHeight="1" x14ac:dyDescent="0.3"/>
    <row r="578" ht="12" customHeight="1" x14ac:dyDescent="0.3"/>
    <row r="579" ht="12" customHeight="1" x14ac:dyDescent="0.3"/>
    <row r="580" ht="12" customHeight="1" x14ac:dyDescent="0.3"/>
    <row r="581" ht="12" customHeight="1" x14ac:dyDescent="0.3"/>
    <row r="582" ht="12" customHeight="1" x14ac:dyDescent="0.3"/>
    <row r="583" ht="12" customHeight="1" x14ac:dyDescent="0.3"/>
    <row r="584" ht="12" customHeight="1" x14ac:dyDescent="0.3"/>
    <row r="585" ht="12" customHeight="1" x14ac:dyDescent="0.3"/>
    <row r="586" ht="12" customHeight="1" x14ac:dyDescent="0.3"/>
    <row r="587" ht="12" customHeight="1" x14ac:dyDescent="0.3"/>
    <row r="588" ht="12" customHeight="1" x14ac:dyDescent="0.3"/>
    <row r="589" ht="12" customHeight="1" x14ac:dyDescent="0.3"/>
    <row r="590" ht="12" customHeight="1" x14ac:dyDescent="0.3"/>
    <row r="591" ht="12" customHeight="1" x14ac:dyDescent="0.3"/>
    <row r="592" ht="12" customHeight="1" x14ac:dyDescent="0.3"/>
    <row r="593" ht="12" customHeight="1" x14ac:dyDescent="0.3"/>
    <row r="594" ht="12" customHeight="1" x14ac:dyDescent="0.3"/>
    <row r="595" ht="12" customHeight="1" x14ac:dyDescent="0.3"/>
    <row r="596" ht="12" customHeight="1" x14ac:dyDescent="0.3"/>
    <row r="597" ht="12" customHeight="1" x14ac:dyDescent="0.3"/>
    <row r="598" ht="12" customHeight="1" x14ac:dyDescent="0.3"/>
    <row r="599" ht="12" customHeight="1" x14ac:dyDescent="0.3"/>
    <row r="600" ht="12" customHeight="1" x14ac:dyDescent="0.3"/>
    <row r="601" ht="12" customHeight="1" x14ac:dyDescent="0.3"/>
    <row r="602" ht="12" customHeight="1" x14ac:dyDescent="0.3"/>
    <row r="603" ht="12" customHeight="1" x14ac:dyDescent="0.3"/>
    <row r="604" ht="12" customHeight="1" x14ac:dyDescent="0.3"/>
    <row r="605" ht="12" customHeight="1" x14ac:dyDescent="0.3"/>
    <row r="606" ht="12" customHeight="1" x14ac:dyDescent="0.3"/>
    <row r="607" ht="12" customHeight="1" x14ac:dyDescent="0.3"/>
    <row r="608" ht="12" customHeight="1" x14ac:dyDescent="0.3"/>
    <row r="609" ht="12" customHeight="1" x14ac:dyDescent="0.3"/>
    <row r="610" ht="12" customHeight="1" x14ac:dyDescent="0.3"/>
    <row r="611" ht="12" customHeight="1" x14ac:dyDescent="0.3"/>
    <row r="612" ht="12" customHeight="1" x14ac:dyDescent="0.3"/>
    <row r="613" ht="12" customHeight="1" x14ac:dyDescent="0.3"/>
    <row r="614" ht="12" customHeight="1" x14ac:dyDescent="0.3"/>
    <row r="615" ht="12" customHeight="1" x14ac:dyDescent="0.3"/>
    <row r="616" ht="12" customHeight="1" x14ac:dyDescent="0.3"/>
    <row r="617" ht="12" customHeight="1" x14ac:dyDescent="0.3"/>
    <row r="618" ht="12" customHeight="1" x14ac:dyDescent="0.3"/>
    <row r="619" ht="12" customHeight="1" x14ac:dyDescent="0.3"/>
    <row r="620" ht="12" customHeight="1" x14ac:dyDescent="0.3"/>
    <row r="621" ht="12" customHeight="1" x14ac:dyDescent="0.3"/>
    <row r="622" ht="12" customHeight="1" x14ac:dyDescent="0.3"/>
    <row r="623" ht="12" customHeight="1" x14ac:dyDescent="0.3"/>
    <row r="624" ht="12" customHeight="1" x14ac:dyDescent="0.3"/>
    <row r="625" ht="12" customHeight="1" x14ac:dyDescent="0.3"/>
    <row r="626" ht="12" customHeight="1" x14ac:dyDescent="0.3"/>
    <row r="627" ht="12" customHeight="1" x14ac:dyDescent="0.3"/>
    <row r="628" ht="12" customHeight="1" x14ac:dyDescent="0.3"/>
    <row r="629" ht="12" customHeight="1" x14ac:dyDescent="0.3"/>
    <row r="630" ht="12" customHeight="1" x14ac:dyDescent="0.3"/>
    <row r="631" ht="12" customHeight="1" x14ac:dyDescent="0.3"/>
    <row r="632" ht="12" customHeight="1" x14ac:dyDescent="0.3"/>
    <row r="633" ht="12" customHeight="1" x14ac:dyDescent="0.3"/>
    <row r="634" ht="12" customHeight="1" x14ac:dyDescent="0.3"/>
    <row r="635" ht="12" customHeight="1" x14ac:dyDescent="0.3"/>
    <row r="636" ht="12" customHeight="1" x14ac:dyDescent="0.3"/>
    <row r="637" ht="12" customHeight="1" x14ac:dyDescent="0.3"/>
    <row r="638" ht="12" customHeight="1" x14ac:dyDescent="0.3"/>
    <row r="639" ht="12" customHeight="1" x14ac:dyDescent="0.3"/>
    <row r="640" ht="12" customHeight="1" x14ac:dyDescent="0.3"/>
    <row r="641" ht="12" customHeight="1" x14ac:dyDescent="0.3"/>
    <row r="642" ht="12" customHeight="1" x14ac:dyDescent="0.3"/>
    <row r="643" ht="12" customHeight="1" x14ac:dyDescent="0.3"/>
    <row r="644" ht="12" customHeight="1" x14ac:dyDescent="0.3"/>
    <row r="645" ht="12" customHeight="1" x14ac:dyDescent="0.3"/>
    <row r="646" ht="12" customHeight="1" x14ac:dyDescent="0.3"/>
    <row r="647" ht="12" customHeight="1" x14ac:dyDescent="0.3"/>
    <row r="648" ht="12" customHeight="1" x14ac:dyDescent="0.3"/>
    <row r="649" ht="12" customHeight="1" x14ac:dyDescent="0.3"/>
    <row r="650" ht="12" customHeight="1" x14ac:dyDescent="0.3"/>
    <row r="651" ht="12" customHeight="1" x14ac:dyDescent="0.3"/>
    <row r="652" ht="12" customHeight="1" x14ac:dyDescent="0.3"/>
    <row r="653" ht="12" customHeight="1" x14ac:dyDescent="0.3"/>
    <row r="654" ht="12" customHeight="1" x14ac:dyDescent="0.3"/>
    <row r="655" ht="12" customHeight="1" x14ac:dyDescent="0.3"/>
    <row r="656" ht="12" customHeight="1" x14ac:dyDescent="0.3"/>
    <row r="657" ht="12" customHeight="1" x14ac:dyDescent="0.3"/>
    <row r="658" ht="12" customHeight="1" x14ac:dyDescent="0.3"/>
    <row r="659" ht="12" customHeight="1" x14ac:dyDescent="0.3"/>
    <row r="660" ht="12" customHeight="1" x14ac:dyDescent="0.3"/>
    <row r="661" ht="12" customHeight="1" x14ac:dyDescent="0.3"/>
    <row r="662" ht="12" customHeight="1" x14ac:dyDescent="0.3"/>
    <row r="663" ht="12" customHeight="1" x14ac:dyDescent="0.3"/>
    <row r="664" ht="12" customHeight="1" x14ac:dyDescent="0.3"/>
    <row r="665" ht="12" customHeight="1" x14ac:dyDescent="0.3"/>
    <row r="666" ht="12" customHeight="1" x14ac:dyDescent="0.3"/>
    <row r="667" ht="12" customHeight="1" x14ac:dyDescent="0.3"/>
    <row r="668" ht="12" customHeight="1" x14ac:dyDescent="0.3"/>
    <row r="669" ht="12" customHeight="1" x14ac:dyDescent="0.3"/>
    <row r="670" ht="12" customHeight="1" x14ac:dyDescent="0.3"/>
    <row r="671" ht="12" customHeight="1" x14ac:dyDescent="0.3"/>
    <row r="672" ht="12" customHeight="1" x14ac:dyDescent="0.3"/>
    <row r="673" ht="12" customHeight="1" x14ac:dyDescent="0.3"/>
    <row r="674" ht="12" customHeight="1" x14ac:dyDescent="0.3"/>
    <row r="675" ht="12" customHeight="1" x14ac:dyDescent="0.3"/>
    <row r="676" ht="12" customHeight="1" x14ac:dyDescent="0.3"/>
    <row r="677" ht="12" customHeight="1" x14ac:dyDescent="0.3"/>
    <row r="678" ht="12" customHeight="1" x14ac:dyDescent="0.3"/>
    <row r="679" ht="12" customHeight="1" x14ac:dyDescent="0.3"/>
    <row r="680" ht="12" customHeight="1" x14ac:dyDescent="0.3"/>
    <row r="681" ht="12" customHeight="1" x14ac:dyDescent="0.3"/>
    <row r="682" ht="12" customHeight="1" x14ac:dyDescent="0.3"/>
    <row r="683" ht="12" customHeight="1" x14ac:dyDescent="0.3"/>
    <row r="684" ht="12" customHeight="1" x14ac:dyDescent="0.3"/>
    <row r="685" ht="12" customHeight="1" x14ac:dyDescent="0.3"/>
    <row r="686" ht="12" customHeight="1" x14ac:dyDescent="0.3"/>
    <row r="687" ht="12" customHeight="1" x14ac:dyDescent="0.3"/>
    <row r="688" ht="12" customHeight="1" x14ac:dyDescent="0.3"/>
    <row r="689" ht="12" customHeight="1" x14ac:dyDescent="0.3"/>
    <row r="690" ht="12" customHeight="1" x14ac:dyDescent="0.3"/>
    <row r="691" ht="12" customHeight="1" x14ac:dyDescent="0.3"/>
    <row r="692" ht="12" customHeight="1" x14ac:dyDescent="0.3"/>
    <row r="693" ht="12" customHeight="1" x14ac:dyDescent="0.3"/>
    <row r="694" ht="12" customHeight="1" x14ac:dyDescent="0.3"/>
    <row r="695" ht="12" customHeight="1" x14ac:dyDescent="0.3"/>
    <row r="696" ht="12" customHeight="1" x14ac:dyDescent="0.3"/>
    <row r="697" ht="12" customHeight="1" x14ac:dyDescent="0.3"/>
    <row r="698" ht="12" customHeight="1" x14ac:dyDescent="0.3"/>
    <row r="699" ht="12" customHeight="1" x14ac:dyDescent="0.3"/>
    <row r="700" ht="12" customHeight="1" x14ac:dyDescent="0.3"/>
    <row r="701" ht="12" customHeight="1" x14ac:dyDescent="0.3"/>
    <row r="702" ht="12" customHeight="1" x14ac:dyDescent="0.3"/>
    <row r="703" ht="12" customHeight="1" x14ac:dyDescent="0.3"/>
    <row r="704" ht="12" customHeight="1" x14ac:dyDescent="0.3"/>
    <row r="705" ht="12" customHeight="1" x14ac:dyDescent="0.3"/>
    <row r="706" ht="12" customHeight="1" x14ac:dyDescent="0.3"/>
    <row r="707" ht="12" customHeight="1" x14ac:dyDescent="0.3"/>
    <row r="708" ht="12" customHeight="1" x14ac:dyDescent="0.3"/>
    <row r="709" ht="12" customHeight="1" x14ac:dyDescent="0.3"/>
    <row r="710" ht="12" customHeight="1" x14ac:dyDescent="0.3"/>
    <row r="711" ht="12" customHeight="1" x14ac:dyDescent="0.3"/>
    <row r="712" ht="12" customHeight="1" x14ac:dyDescent="0.3"/>
    <row r="713" ht="12" customHeight="1" x14ac:dyDescent="0.3"/>
    <row r="714" ht="12" customHeight="1" x14ac:dyDescent="0.3"/>
    <row r="715" ht="12" customHeight="1" x14ac:dyDescent="0.3"/>
    <row r="716" ht="12" customHeight="1" x14ac:dyDescent="0.3"/>
    <row r="717" ht="12" customHeight="1" x14ac:dyDescent="0.3"/>
    <row r="718" ht="12" customHeight="1" x14ac:dyDescent="0.3"/>
    <row r="719" ht="12" customHeight="1" x14ac:dyDescent="0.3"/>
    <row r="720" ht="12" customHeight="1" x14ac:dyDescent="0.3"/>
    <row r="721" ht="12" customHeight="1" x14ac:dyDescent="0.3"/>
    <row r="722" ht="12" customHeight="1" x14ac:dyDescent="0.3"/>
    <row r="723" ht="12" customHeight="1" x14ac:dyDescent="0.3"/>
    <row r="724" ht="12" customHeight="1" x14ac:dyDescent="0.3"/>
    <row r="725" ht="12" customHeight="1" x14ac:dyDescent="0.3"/>
    <row r="726" ht="12" customHeight="1" x14ac:dyDescent="0.3"/>
    <row r="727" ht="12" customHeight="1" x14ac:dyDescent="0.3"/>
    <row r="728" ht="12" customHeight="1" x14ac:dyDescent="0.3"/>
    <row r="729" ht="12" customHeight="1" x14ac:dyDescent="0.3"/>
    <row r="730" ht="12" customHeight="1" x14ac:dyDescent="0.3"/>
    <row r="731" ht="12" customHeight="1" x14ac:dyDescent="0.3"/>
    <row r="732" ht="12" customHeight="1" x14ac:dyDescent="0.3"/>
    <row r="733" ht="12" customHeight="1" x14ac:dyDescent="0.3"/>
    <row r="734" ht="12" customHeight="1" x14ac:dyDescent="0.3"/>
    <row r="735" ht="12" customHeight="1" x14ac:dyDescent="0.3"/>
    <row r="736" ht="12" customHeight="1" x14ac:dyDescent="0.3"/>
    <row r="737" ht="12" customHeight="1" x14ac:dyDescent="0.3"/>
    <row r="738" ht="12" customHeight="1" x14ac:dyDescent="0.3"/>
    <row r="739" ht="12" customHeight="1" x14ac:dyDescent="0.3"/>
    <row r="740" ht="12" customHeight="1" x14ac:dyDescent="0.3"/>
    <row r="741" ht="12" customHeight="1" x14ac:dyDescent="0.3"/>
    <row r="742" ht="12" customHeight="1" x14ac:dyDescent="0.3"/>
    <row r="743" ht="12" customHeight="1" x14ac:dyDescent="0.3"/>
    <row r="744" ht="12" customHeight="1" x14ac:dyDescent="0.3"/>
    <row r="745" ht="12" customHeight="1" x14ac:dyDescent="0.3"/>
    <row r="746" ht="12" customHeight="1" x14ac:dyDescent="0.3"/>
    <row r="747" ht="12" customHeight="1" x14ac:dyDescent="0.3"/>
    <row r="748" ht="12" customHeight="1" x14ac:dyDescent="0.3"/>
    <row r="749" ht="12" customHeight="1" x14ac:dyDescent="0.3"/>
    <row r="750" ht="12" customHeight="1" x14ac:dyDescent="0.3"/>
    <row r="751" ht="12" customHeight="1" x14ac:dyDescent="0.3"/>
    <row r="752" ht="12" customHeight="1" x14ac:dyDescent="0.3"/>
    <row r="753" ht="12" customHeight="1" x14ac:dyDescent="0.3"/>
    <row r="754" ht="12" customHeight="1" x14ac:dyDescent="0.3"/>
    <row r="755" ht="12" customHeight="1" x14ac:dyDescent="0.3"/>
    <row r="756" ht="12" customHeight="1" x14ac:dyDescent="0.3"/>
    <row r="757" ht="12" customHeight="1" x14ac:dyDescent="0.3"/>
    <row r="758" ht="12" customHeight="1" x14ac:dyDescent="0.3"/>
    <row r="759" ht="12" customHeight="1" x14ac:dyDescent="0.3"/>
    <row r="760" ht="12" customHeight="1" x14ac:dyDescent="0.3"/>
    <row r="761" ht="12" customHeight="1" x14ac:dyDescent="0.3"/>
    <row r="762" ht="12" customHeight="1" x14ac:dyDescent="0.3"/>
    <row r="763" ht="12" customHeight="1" x14ac:dyDescent="0.3"/>
    <row r="764" ht="12" customHeight="1" x14ac:dyDescent="0.3"/>
    <row r="765" ht="12" customHeight="1" x14ac:dyDescent="0.3"/>
    <row r="766" ht="12" customHeight="1" x14ac:dyDescent="0.3"/>
    <row r="767" ht="12" customHeight="1" x14ac:dyDescent="0.3"/>
    <row r="768" ht="12" customHeight="1" x14ac:dyDescent="0.3"/>
    <row r="769" ht="12" customHeight="1" x14ac:dyDescent="0.3"/>
    <row r="770" ht="12" customHeight="1" x14ac:dyDescent="0.3"/>
    <row r="771" ht="12" customHeight="1" x14ac:dyDescent="0.3"/>
    <row r="772" ht="12" customHeight="1" x14ac:dyDescent="0.3"/>
    <row r="773" ht="12" customHeight="1" x14ac:dyDescent="0.3"/>
    <row r="774" ht="12" customHeight="1" x14ac:dyDescent="0.3"/>
    <row r="775" ht="12" customHeight="1" x14ac:dyDescent="0.3"/>
    <row r="776" ht="12" customHeight="1" x14ac:dyDescent="0.3"/>
    <row r="777" ht="12" customHeight="1" x14ac:dyDescent="0.3"/>
    <row r="778" ht="12" customHeight="1" x14ac:dyDescent="0.3"/>
    <row r="779" ht="12" customHeight="1" x14ac:dyDescent="0.3"/>
    <row r="780" ht="12" customHeight="1" x14ac:dyDescent="0.3"/>
    <row r="781" ht="12" customHeight="1" x14ac:dyDescent="0.3"/>
    <row r="782" ht="12" customHeight="1" x14ac:dyDescent="0.3"/>
    <row r="783" ht="12" customHeight="1" x14ac:dyDescent="0.3"/>
    <row r="784" ht="12" customHeight="1" x14ac:dyDescent="0.3"/>
    <row r="785" ht="12" customHeight="1" x14ac:dyDescent="0.3"/>
    <row r="786" ht="12" customHeight="1" x14ac:dyDescent="0.3"/>
    <row r="787" ht="12" customHeight="1" x14ac:dyDescent="0.3"/>
    <row r="788" ht="12" customHeight="1" x14ac:dyDescent="0.3"/>
    <row r="789" ht="12" customHeight="1" x14ac:dyDescent="0.3"/>
    <row r="790" ht="12" customHeight="1" x14ac:dyDescent="0.3"/>
    <row r="791" ht="12" customHeight="1" x14ac:dyDescent="0.3"/>
    <row r="792" ht="12" customHeight="1" x14ac:dyDescent="0.3"/>
    <row r="793" ht="12" customHeight="1" x14ac:dyDescent="0.3"/>
    <row r="794" ht="12" customHeight="1" x14ac:dyDescent="0.3"/>
    <row r="795" ht="12" customHeight="1" x14ac:dyDescent="0.3"/>
    <row r="796" ht="12" customHeight="1" x14ac:dyDescent="0.3"/>
    <row r="797" ht="12" customHeight="1" x14ac:dyDescent="0.3"/>
    <row r="798" ht="12" customHeight="1" x14ac:dyDescent="0.3"/>
    <row r="799" ht="12" customHeight="1" x14ac:dyDescent="0.3"/>
    <row r="800" ht="12" customHeight="1" x14ac:dyDescent="0.3"/>
    <row r="801" ht="12" customHeight="1" x14ac:dyDescent="0.3"/>
    <row r="802" ht="12" customHeight="1" x14ac:dyDescent="0.3"/>
    <row r="803" ht="12" customHeight="1" x14ac:dyDescent="0.3"/>
    <row r="804" ht="12" customHeight="1" x14ac:dyDescent="0.3"/>
    <row r="805" ht="12" customHeight="1" x14ac:dyDescent="0.3"/>
    <row r="806" ht="12" customHeight="1" x14ac:dyDescent="0.3"/>
    <row r="807" ht="12" customHeight="1" x14ac:dyDescent="0.3"/>
    <row r="808" ht="12" customHeight="1" x14ac:dyDescent="0.3"/>
    <row r="809" ht="12" customHeight="1" x14ac:dyDescent="0.3"/>
    <row r="810" ht="12" customHeight="1" x14ac:dyDescent="0.3"/>
    <row r="811" ht="12" customHeight="1" x14ac:dyDescent="0.3"/>
    <row r="812" ht="12" customHeight="1" x14ac:dyDescent="0.3"/>
    <row r="813" ht="12" customHeight="1" x14ac:dyDescent="0.3"/>
    <row r="814" ht="12" customHeight="1" x14ac:dyDescent="0.3"/>
    <row r="815" ht="12" customHeight="1" x14ac:dyDescent="0.3"/>
    <row r="816" ht="12" customHeight="1" x14ac:dyDescent="0.3"/>
    <row r="817" ht="12" customHeight="1" x14ac:dyDescent="0.3"/>
    <row r="818" ht="12" customHeight="1" x14ac:dyDescent="0.3"/>
    <row r="819" ht="12" customHeight="1" x14ac:dyDescent="0.3"/>
    <row r="820" ht="12" customHeight="1" x14ac:dyDescent="0.3"/>
    <row r="821" ht="12" customHeight="1" x14ac:dyDescent="0.3"/>
    <row r="822" ht="12" customHeight="1" x14ac:dyDescent="0.3"/>
    <row r="823" ht="12" customHeight="1" x14ac:dyDescent="0.3"/>
    <row r="824" ht="12" customHeight="1" x14ac:dyDescent="0.3"/>
    <row r="825" ht="12" customHeight="1" x14ac:dyDescent="0.3"/>
    <row r="826" ht="12" customHeight="1" x14ac:dyDescent="0.3"/>
    <row r="827" ht="12" customHeight="1" x14ac:dyDescent="0.3"/>
    <row r="828" ht="12" customHeight="1" x14ac:dyDescent="0.3"/>
    <row r="829" ht="12" customHeight="1" x14ac:dyDescent="0.3"/>
    <row r="830" ht="12" customHeight="1" x14ac:dyDescent="0.3"/>
    <row r="831" ht="12" customHeight="1" x14ac:dyDescent="0.3"/>
    <row r="832" ht="12" customHeight="1" x14ac:dyDescent="0.3"/>
    <row r="833" ht="12" customHeight="1" x14ac:dyDescent="0.3"/>
    <row r="834" ht="12" customHeight="1" x14ac:dyDescent="0.3"/>
    <row r="835" ht="12" customHeight="1" x14ac:dyDescent="0.3"/>
    <row r="836" ht="12" customHeight="1" x14ac:dyDescent="0.3"/>
    <row r="837" ht="12" customHeight="1" x14ac:dyDescent="0.3"/>
    <row r="838" ht="12" customHeight="1" x14ac:dyDescent="0.3"/>
    <row r="839" ht="12" customHeight="1" x14ac:dyDescent="0.3"/>
    <row r="840" ht="12" customHeight="1" x14ac:dyDescent="0.3"/>
    <row r="841" ht="12" customHeight="1" x14ac:dyDescent="0.3"/>
    <row r="842" ht="12" customHeight="1" x14ac:dyDescent="0.3"/>
    <row r="843" ht="12" customHeight="1" x14ac:dyDescent="0.3"/>
    <row r="844" ht="12" customHeight="1" x14ac:dyDescent="0.3"/>
    <row r="845" ht="12" customHeight="1" x14ac:dyDescent="0.3"/>
    <row r="846" ht="12" customHeight="1" x14ac:dyDescent="0.3"/>
    <row r="847" ht="12" customHeight="1" x14ac:dyDescent="0.3"/>
    <row r="848" ht="12" customHeight="1" x14ac:dyDescent="0.3"/>
    <row r="849" ht="12" customHeight="1" x14ac:dyDescent="0.3"/>
    <row r="850" ht="12" customHeight="1" x14ac:dyDescent="0.3"/>
    <row r="851" ht="12" customHeight="1" x14ac:dyDescent="0.3"/>
    <row r="852" ht="12" customHeight="1" x14ac:dyDescent="0.3"/>
    <row r="853" ht="12" customHeight="1" x14ac:dyDescent="0.3"/>
    <row r="854" ht="12" customHeight="1" x14ac:dyDescent="0.3"/>
    <row r="855" ht="12" customHeight="1" x14ac:dyDescent="0.3"/>
    <row r="856" ht="12" customHeight="1" x14ac:dyDescent="0.3"/>
    <row r="857" ht="12" customHeight="1" x14ac:dyDescent="0.3"/>
    <row r="858" ht="12" customHeight="1" x14ac:dyDescent="0.3"/>
    <row r="859" ht="12" customHeight="1" x14ac:dyDescent="0.3"/>
    <row r="860" ht="12" customHeight="1" x14ac:dyDescent="0.3"/>
    <row r="861" ht="12" customHeight="1" x14ac:dyDescent="0.3"/>
    <row r="862" ht="12" customHeight="1" x14ac:dyDescent="0.3"/>
    <row r="863" ht="12" customHeight="1" x14ac:dyDescent="0.3"/>
    <row r="864" ht="12" customHeight="1" x14ac:dyDescent="0.3"/>
    <row r="865" ht="12" customHeight="1" x14ac:dyDescent="0.3"/>
    <row r="866" ht="12" customHeight="1" x14ac:dyDescent="0.3"/>
    <row r="867" ht="12" customHeight="1" x14ac:dyDescent="0.3"/>
    <row r="868" ht="12" customHeight="1" x14ac:dyDescent="0.3"/>
    <row r="869" ht="12" customHeight="1" x14ac:dyDescent="0.3"/>
    <row r="870" ht="12" customHeight="1" x14ac:dyDescent="0.3"/>
    <row r="871" ht="12" customHeight="1" x14ac:dyDescent="0.3"/>
    <row r="872" ht="12" customHeight="1" x14ac:dyDescent="0.3"/>
    <row r="873" ht="12" customHeight="1" x14ac:dyDescent="0.3"/>
    <row r="874" ht="12" customHeight="1" x14ac:dyDescent="0.3"/>
    <row r="875" ht="12" customHeight="1" x14ac:dyDescent="0.3"/>
    <row r="876" ht="12" customHeight="1" x14ac:dyDescent="0.3"/>
    <row r="877" ht="12" customHeight="1" x14ac:dyDescent="0.3"/>
    <row r="878" ht="12" customHeight="1" x14ac:dyDescent="0.3"/>
    <row r="879" ht="12" customHeight="1" x14ac:dyDescent="0.3"/>
    <row r="880" ht="12" customHeight="1" x14ac:dyDescent="0.3"/>
    <row r="881" ht="12" customHeight="1" x14ac:dyDescent="0.3"/>
    <row r="882" ht="12" customHeight="1" x14ac:dyDescent="0.3"/>
    <row r="883" ht="12" customHeight="1" x14ac:dyDescent="0.3"/>
    <row r="884" ht="12" customHeight="1" x14ac:dyDescent="0.3"/>
    <row r="885" ht="12" customHeight="1" x14ac:dyDescent="0.3"/>
    <row r="886" ht="12" customHeight="1" x14ac:dyDescent="0.3"/>
    <row r="887" ht="12" customHeight="1" x14ac:dyDescent="0.3"/>
    <row r="888" ht="12" customHeight="1" x14ac:dyDescent="0.3"/>
    <row r="889" ht="12" customHeight="1" x14ac:dyDescent="0.3"/>
    <row r="890" ht="12" customHeight="1" x14ac:dyDescent="0.3"/>
    <row r="891" ht="12" customHeight="1" x14ac:dyDescent="0.3"/>
    <row r="892" ht="12" customHeight="1" x14ac:dyDescent="0.3"/>
    <row r="893" ht="12" customHeight="1" x14ac:dyDescent="0.3"/>
    <row r="894" ht="12" customHeight="1" x14ac:dyDescent="0.3"/>
    <row r="895" ht="12" customHeight="1" x14ac:dyDescent="0.3"/>
    <row r="896" ht="12" customHeight="1" x14ac:dyDescent="0.3"/>
    <row r="897" ht="12" customHeight="1" x14ac:dyDescent="0.3"/>
    <row r="898" ht="12" customHeight="1" x14ac:dyDescent="0.3"/>
    <row r="899" ht="12" customHeight="1" x14ac:dyDescent="0.3"/>
    <row r="900" ht="12" customHeight="1" x14ac:dyDescent="0.3"/>
    <row r="901" ht="12" customHeight="1" x14ac:dyDescent="0.3"/>
    <row r="902" ht="12" customHeight="1" x14ac:dyDescent="0.3"/>
    <row r="903" ht="12" customHeight="1" x14ac:dyDescent="0.3"/>
    <row r="904" ht="12" customHeight="1" x14ac:dyDescent="0.3"/>
    <row r="905" ht="12" customHeight="1" x14ac:dyDescent="0.3"/>
    <row r="906" ht="12" customHeight="1" x14ac:dyDescent="0.3"/>
    <row r="907" ht="12" customHeight="1" x14ac:dyDescent="0.3"/>
    <row r="908" ht="12" customHeight="1" x14ac:dyDescent="0.3"/>
    <row r="909" ht="12" customHeight="1" x14ac:dyDescent="0.3"/>
    <row r="910" ht="12" customHeight="1" x14ac:dyDescent="0.3"/>
    <row r="911" ht="12" customHeight="1" x14ac:dyDescent="0.3"/>
    <row r="912" ht="12" customHeight="1" x14ac:dyDescent="0.3"/>
    <row r="913" ht="12" customHeight="1" x14ac:dyDescent="0.3"/>
    <row r="914" ht="12" customHeight="1" x14ac:dyDescent="0.3"/>
    <row r="915" ht="12" customHeight="1" x14ac:dyDescent="0.3"/>
    <row r="916" ht="12" customHeight="1" x14ac:dyDescent="0.3"/>
    <row r="917" ht="12" customHeight="1" x14ac:dyDescent="0.3"/>
    <row r="918" ht="12" customHeight="1" x14ac:dyDescent="0.3"/>
    <row r="919" ht="12" customHeight="1" x14ac:dyDescent="0.3"/>
    <row r="920" ht="12" customHeight="1" x14ac:dyDescent="0.3"/>
    <row r="921" ht="12" customHeight="1" x14ac:dyDescent="0.3"/>
    <row r="922" ht="12" customHeight="1" x14ac:dyDescent="0.3"/>
    <row r="923" ht="12" customHeight="1" x14ac:dyDescent="0.3"/>
    <row r="924" ht="12" customHeight="1" x14ac:dyDescent="0.3"/>
    <row r="925" ht="12" customHeight="1" x14ac:dyDescent="0.3"/>
    <row r="926" ht="12" customHeight="1" x14ac:dyDescent="0.3"/>
    <row r="927" ht="12" customHeight="1" x14ac:dyDescent="0.3"/>
    <row r="928" ht="12" customHeight="1" x14ac:dyDescent="0.3"/>
    <row r="929" ht="12" customHeight="1" x14ac:dyDescent="0.3"/>
    <row r="930" ht="12" customHeight="1" x14ac:dyDescent="0.3"/>
    <row r="931" ht="12" customHeight="1" x14ac:dyDescent="0.3"/>
    <row r="932" ht="12" customHeight="1" x14ac:dyDescent="0.3"/>
    <row r="933" ht="12" customHeight="1" x14ac:dyDescent="0.3"/>
    <row r="934" ht="12" customHeight="1" x14ac:dyDescent="0.3"/>
    <row r="935" ht="12" customHeight="1" x14ac:dyDescent="0.3"/>
    <row r="936" ht="12" customHeight="1" x14ac:dyDescent="0.3"/>
    <row r="937" ht="12" customHeight="1" x14ac:dyDescent="0.3"/>
    <row r="938" ht="12" customHeight="1" x14ac:dyDescent="0.3"/>
    <row r="939" ht="12" customHeight="1" x14ac:dyDescent="0.3"/>
    <row r="940" ht="12" customHeight="1" x14ac:dyDescent="0.3"/>
    <row r="941" ht="12" customHeight="1" x14ac:dyDescent="0.3"/>
    <row r="942" ht="12" customHeight="1" x14ac:dyDescent="0.3"/>
    <row r="943" ht="12" customHeight="1" x14ac:dyDescent="0.3"/>
    <row r="944" ht="12" customHeight="1" x14ac:dyDescent="0.3"/>
    <row r="945" ht="12" customHeight="1" x14ac:dyDescent="0.3"/>
    <row r="946" ht="12" customHeight="1" x14ac:dyDescent="0.3"/>
    <row r="947" ht="12" customHeight="1" x14ac:dyDescent="0.3"/>
    <row r="948" ht="12" customHeight="1" x14ac:dyDescent="0.3"/>
    <row r="949" ht="12" customHeight="1" x14ac:dyDescent="0.3"/>
    <row r="950" ht="12" customHeight="1" x14ac:dyDescent="0.3"/>
    <row r="951" ht="12" customHeight="1" x14ac:dyDescent="0.3"/>
    <row r="952" ht="12" customHeight="1" x14ac:dyDescent="0.3"/>
    <row r="953" ht="12" customHeight="1" x14ac:dyDescent="0.3"/>
    <row r="954" ht="12" customHeight="1" x14ac:dyDescent="0.3"/>
    <row r="955" ht="12" customHeight="1" x14ac:dyDescent="0.3"/>
    <row r="956" ht="12" customHeight="1" x14ac:dyDescent="0.3"/>
    <row r="957" ht="12" customHeight="1" x14ac:dyDescent="0.3"/>
    <row r="958" ht="12" customHeight="1" x14ac:dyDescent="0.3"/>
    <row r="959" ht="12" customHeight="1" x14ac:dyDescent="0.3"/>
    <row r="960" ht="12" customHeight="1" x14ac:dyDescent="0.3"/>
    <row r="961" ht="12" customHeight="1" x14ac:dyDescent="0.3"/>
    <row r="962" ht="12" customHeight="1" x14ac:dyDescent="0.3"/>
    <row r="963" ht="12" customHeight="1" x14ac:dyDescent="0.3"/>
    <row r="964" ht="12" customHeight="1" x14ac:dyDescent="0.3"/>
    <row r="965" ht="12" customHeight="1" x14ac:dyDescent="0.3"/>
    <row r="966" ht="12" customHeight="1" x14ac:dyDescent="0.3"/>
    <row r="967" ht="12" customHeight="1" x14ac:dyDescent="0.3"/>
    <row r="968" ht="12" customHeight="1" x14ac:dyDescent="0.3"/>
    <row r="969" ht="12" customHeight="1" x14ac:dyDescent="0.3"/>
    <row r="970" ht="12" customHeight="1" x14ac:dyDescent="0.3"/>
    <row r="971" ht="12" customHeight="1" x14ac:dyDescent="0.3"/>
    <row r="972" ht="12" customHeight="1" x14ac:dyDescent="0.3"/>
    <row r="973" ht="12" customHeight="1" x14ac:dyDescent="0.3"/>
    <row r="974" ht="12" customHeight="1" x14ac:dyDescent="0.3"/>
    <row r="975" ht="12" customHeight="1" x14ac:dyDescent="0.3"/>
    <row r="976" ht="12" customHeight="1" x14ac:dyDescent="0.3"/>
    <row r="977" ht="12" customHeight="1" x14ac:dyDescent="0.3"/>
    <row r="978" ht="12" customHeight="1" x14ac:dyDescent="0.3"/>
    <row r="979" ht="12" customHeight="1" x14ac:dyDescent="0.3"/>
    <row r="980" ht="12" customHeight="1" x14ac:dyDescent="0.3"/>
    <row r="981" ht="12" customHeight="1" x14ac:dyDescent="0.3"/>
    <row r="982" ht="12" customHeight="1" x14ac:dyDescent="0.3"/>
    <row r="983" ht="12" customHeight="1" x14ac:dyDescent="0.3"/>
    <row r="984" ht="12" customHeight="1" x14ac:dyDescent="0.3"/>
    <row r="985" ht="12" customHeight="1" x14ac:dyDescent="0.3"/>
    <row r="986" ht="12" customHeight="1" x14ac:dyDescent="0.3"/>
    <row r="987" ht="12" customHeight="1" x14ac:dyDescent="0.3"/>
    <row r="988" ht="12" customHeight="1" x14ac:dyDescent="0.3"/>
    <row r="989" ht="12" customHeight="1" x14ac:dyDescent="0.3"/>
    <row r="990" ht="12" customHeight="1" x14ac:dyDescent="0.3"/>
    <row r="991" ht="12" customHeight="1" x14ac:dyDescent="0.3"/>
    <row r="992" ht="12" customHeight="1" x14ac:dyDescent="0.3"/>
    <row r="993" ht="12" customHeight="1" x14ac:dyDescent="0.3"/>
    <row r="994" ht="12" customHeight="1" x14ac:dyDescent="0.3"/>
    <row r="995" ht="12" customHeight="1" x14ac:dyDescent="0.3"/>
    <row r="996" ht="12" customHeight="1" x14ac:dyDescent="0.3"/>
    <row r="997" ht="12" customHeight="1" x14ac:dyDescent="0.3"/>
    <row r="998" ht="12" customHeight="1" x14ac:dyDescent="0.3"/>
    <row r="999" ht="12" customHeight="1" x14ac:dyDescent="0.3"/>
    <row r="1000" ht="12" customHeight="1" x14ac:dyDescent="0.3"/>
  </sheetData>
  <mergeCells count="3">
    <mergeCell ref="A1:M1"/>
    <mergeCell ref="A2:G2"/>
    <mergeCell ref="I2:N2"/>
  </mergeCells>
  <pageMargins left="0.7" right="0.7" top="0.75" bottom="0.75" header="0.3" footer="0.3"/>
  <pageSetup orientation="portrait" r:id="rId1"/>
  <ignoredErrors>
    <ignoredError sqref="K72:N77" formulaRange="1"/>
    <ignoredError sqref="L5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F2k</dc:creator>
  <cp:lastModifiedBy>DELL</cp:lastModifiedBy>
  <cp:lastPrinted>2024-11-29T07:23:12Z</cp:lastPrinted>
  <dcterms:created xsi:type="dcterms:W3CDTF">2024-11-17T08:43:36Z</dcterms:created>
  <dcterms:modified xsi:type="dcterms:W3CDTF">2026-08-24T13:20:25Z</dcterms:modified>
</cp:coreProperties>
</file>