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DELL\Desktop\Harshit\Xtranet\Summary Sheet\Q1-FY27\"/>
    </mc:Choice>
  </mc:AlternateContent>
  <xr:revisionPtr revIDLastSave="0" documentId="8_{CB905827-791C-4638-B8D1-E0D7B7854B77}" xr6:coauthVersionLast="47" xr6:coauthVersionMax="47" xr10:uidLastSave="{00000000-0000-0000-0000-000000000000}"/>
  <bookViews>
    <workbookView xWindow="-108" yWindow="-108" windowWidth="23256" windowHeight="12456" tabRatio="500" firstSheet="1" activeTab="1" xr2:uid="{00000000-000D-0000-FFFF-FFFF00000000}"/>
  </bookViews>
  <sheets>
    <sheet name="Peer Analysis" sheetId="1" state="hidden" r:id="rId1"/>
    <sheet name="Consol" sheetId="2" r:id="rId2"/>
  </sheets>
  <definedNames>
    <definedName name="_xlnm.Print_Area" localSheetId="0">'Peer Analysis'!$A$1:$G$51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7" i="2" l="1"/>
  <c r="K77" i="2"/>
  <c r="L77" i="2"/>
  <c r="I77" i="2"/>
  <c r="J76" i="2"/>
  <c r="K76" i="2"/>
  <c r="L76" i="2"/>
  <c r="I76" i="2"/>
  <c r="J74" i="2"/>
  <c r="K74" i="2"/>
  <c r="L74" i="2"/>
  <c r="I74" i="2"/>
  <c r="J73" i="2"/>
  <c r="K73" i="2"/>
  <c r="K75" i="2" s="1"/>
  <c r="L73" i="2"/>
  <c r="I73" i="2"/>
  <c r="J72" i="2"/>
  <c r="J75" i="2" s="1"/>
  <c r="K72" i="2"/>
  <c r="L72" i="2"/>
  <c r="L75" i="2" s="1"/>
  <c r="I72" i="2"/>
  <c r="I75" i="2" s="1"/>
  <c r="J67" i="2"/>
  <c r="K67" i="2"/>
  <c r="L67" i="2"/>
  <c r="I67" i="2"/>
  <c r="J62" i="2"/>
  <c r="J64" i="2" s="1"/>
  <c r="K62" i="2"/>
  <c r="L62" i="2"/>
  <c r="L64" i="2" s="1"/>
  <c r="M62" i="2"/>
  <c r="L33" i="2"/>
  <c r="L35" i="2" s="1"/>
  <c r="L63" i="2" s="1"/>
  <c r="L26" i="2"/>
  <c r="K33" i="2"/>
  <c r="K35" i="2" s="1"/>
  <c r="K63" i="2" s="1"/>
  <c r="J45" i="2"/>
  <c r="J33" i="2"/>
  <c r="J35" i="2" s="1"/>
  <c r="J63" i="2" s="1"/>
  <c r="I33" i="2"/>
  <c r="J26" i="2"/>
  <c r="J17" i="2"/>
  <c r="I35" i="2"/>
  <c r="I56" i="2"/>
  <c r="I45" i="2"/>
  <c r="I26" i="2"/>
  <c r="I17" i="2"/>
  <c r="C59" i="2"/>
  <c r="D59" i="2"/>
  <c r="K71" i="2" s="1"/>
  <c r="E59" i="2"/>
  <c r="B59" i="2"/>
  <c r="I71" i="2" s="1"/>
  <c r="C58" i="2"/>
  <c r="J70" i="2" s="1"/>
  <c r="D58" i="2"/>
  <c r="K70" i="2" s="1"/>
  <c r="E58" i="2"/>
  <c r="L71" i="2" s="1"/>
  <c r="B58" i="2"/>
  <c r="B57" i="2"/>
  <c r="C57" i="2"/>
  <c r="D57" i="2"/>
  <c r="E57" i="2"/>
  <c r="F57" i="2"/>
  <c r="C50" i="2"/>
  <c r="C52" i="2" s="1"/>
  <c r="D50" i="2"/>
  <c r="D52" i="2" s="1"/>
  <c r="E50" i="2"/>
  <c r="E52" i="2" s="1"/>
  <c r="B50" i="2"/>
  <c r="B52" i="2" s="1"/>
  <c r="D46" i="2"/>
  <c r="C46" i="2"/>
  <c r="E46" i="2"/>
  <c r="B46" i="2"/>
  <c r="B47" i="2" s="1"/>
  <c r="C42" i="2" s="1"/>
  <c r="B37" i="2"/>
  <c r="B36" i="2"/>
  <c r="C38" i="2" s="1"/>
  <c r="B7" i="2"/>
  <c r="B13" i="2" s="1"/>
  <c r="C7" i="2"/>
  <c r="C13" i="2" s="1"/>
  <c r="C21" i="2" s="1"/>
  <c r="C5" i="2"/>
  <c r="D38" i="2"/>
  <c r="D7" i="2"/>
  <c r="D13" i="2" s="1"/>
  <c r="D21" i="2" s="1"/>
  <c r="D23" i="2" s="1"/>
  <c r="D5" i="2"/>
  <c r="E38" i="2"/>
  <c r="E7" i="2"/>
  <c r="E13" i="2" s="1"/>
  <c r="E6" i="2"/>
  <c r="E5" i="2"/>
  <c r="F7" i="2"/>
  <c r="F13" i="2" s="1"/>
  <c r="K64" i="2"/>
  <c r="J56" i="2"/>
  <c r="K56" i="2"/>
  <c r="L56" i="2"/>
  <c r="K45" i="2"/>
  <c r="L45" i="2"/>
  <c r="K26" i="2"/>
  <c r="K17" i="2"/>
  <c r="L17" i="2"/>
  <c r="F38" i="1"/>
  <c r="E38" i="1"/>
  <c r="D38" i="1"/>
  <c r="C38" i="1"/>
  <c r="B38" i="1"/>
  <c r="B37" i="1"/>
  <c r="F19" i="1"/>
  <c r="E19" i="1"/>
  <c r="D19" i="1"/>
  <c r="C19" i="1"/>
  <c r="B19" i="1"/>
  <c r="F13" i="1"/>
  <c r="E13" i="1"/>
  <c r="D13" i="1"/>
  <c r="C13" i="1"/>
  <c r="F10" i="1"/>
  <c r="E10" i="1"/>
  <c r="D10" i="1"/>
  <c r="C10" i="1"/>
  <c r="B6" i="1"/>
  <c r="B10" i="1" s="1"/>
  <c r="I70" i="2" l="1"/>
  <c r="J27" i="2"/>
  <c r="J36" i="2" s="1"/>
  <c r="J69" i="2" s="1"/>
  <c r="J71" i="2"/>
  <c r="L70" i="2"/>
  <c r="I27" i="2"/>
  <c r="I36" i="2" s="1"/>
  <c r="C47" i="2"/>
  <c r="D42" i="2" s="1"/>
  <c r="D47" i="2" s="1"/>
  <c r="E42" i="2" s="1"/>
  <c r="E47" i="2" s="1"/>
  <c r="L27" i="2"/>
  <c r="L36" i="2" s="1"/>
  <c r="I63" i="2"/>
  <c r="B60" i="2"/>
  <c r="I66" i="2" s="1"/>
  <c r="I62" i="2"/>
  <c r="I64" i="2" s="1"/>
  <c r="J57" i="2"/>
  <c r="L57" i="2"/>
  <c r="K57" i="2"/>
  <c r="I57" i="2"/>
  <c r="B21" i="2"/>
  <c r="B14" i="2"/>
  <c r="D14" i="2"/>
  <c r="E16" i="2"/>
  <c r="E21" i="2"/>
  <c r="E14" i="2"/>
  <c r="F21" i="2"/>
  <c r="F23" i="2" s="1"/>
  <c r="F14" i="2"/>
  <c r="D26" i="2"/>
  <c r="D27" i="2"/>
  <c r="K68" i="2" s="1"/>
  <c r="C14" i="2"/>
  <c r="E15" i="2"/>
  <c r="C15" i="2"/>
  <c r="C60" i="2"/>
  <c r="J66" i="2" s="1"/>
  <c r="E39" i="2"/>
  <c r="C23" i="2"/>
  <c r="D15" i="2"/>
  <c r="E60" i="2"/>
  <c r="L66" i="2" s="1"/>
  <c r="D60" i="2"/>
  <c r="K66" i="2" s="1"/>
  <c r="K27" i="2"/>
  <c r="K36" i="2" s="1"/>
  <c r="K69" i="2" s="1"/>
  <c r="B13" i="1"/>
  <c r="B23" i="2" l="1"/>
  <c r="B27" i="2" s="1"/>
  <c r="I68" i="2" s="1"/>
  <c r="I69" i="2"/>
  <c r="E23" i="2"/>
  <c r="E26" i="2" s="1"/>
  <c r="L69" i="2"/>
  <c r="C26" i="2"/>
  <c r="C27" i="2"/>
  <c r="D28" i="2"/>
  <c r="D32" i="2"/>
  <c r="B28" i="2"/>
  <c r="B32" i="2"/>
  <c r="F26" i="2"/>
  <c r="F27" i="2"/>
  <c r="C29" i="2" l="1"/>
  <c r="E27" i="2"/>
  <c r="E32" i="2" s="1"/>
  <c r="B26" i="2"/>
  <c r="E30" i="2"/>
  <c r="E28" i="2"/>
  <c r="C32" i="2"/>
  <c r="D33" i="2" s="1"/>
  <c r="C28" i="2"/>
  <c r="J68" i="2"/>
  <c r="L68" i="2"/>
  <c r="D29" i="2"/>
  <c r="F32" i="2"/>
  <c r="F28" i="2"/>
  <c r="C33" i="2"/>
  <c r="E34" i="2"/>
  <c r="E33" i="2"/>
  <c r="E29" i="2" l="1"/>
</calcChain>
</file>

<file path=xl/sharedStrings.xml><?xml version="1.0" encoding="utf-8"?>
<sst xmlns="http://schemas.openxmlformats.org/spreadsheetml/2006/main" count="215" uniqueCount="165">
  <si>
    <t>Peer Comparison Analysis - KRITI INDUSTRIES (INDIA) LIMITED</t>
  </si>
  <si>
    <t>INR Mn</t>
  </si>
  <si>
    <t>Kriti</t>
  </si>
  <si>
    <t>Prince</t>
  </si>
  <si>
    <t>Apollo</t>
  </si>
  <si>
    <t>Finolex</t>
  </si>
  <si>
    <t>Astral</t>
  </si>
  <si>
    <t>Supreme</t>
  </si>
  <si>
    <t>FY21 Consol</t>
  </si>
  <si>
    <t>P&amp;L Comparision</t>
  </si>
  <si>
    <t>Income Statement</t>
  </si>
  <si>
    <t>Operating Revenue</t>
  </si>
  <si>
    <t>3 Years CAGR (%)</t>
  </si>
  <si>
    <t>EBITDA</t>
  </si>
  <si>
    <t>EBITDA Margin (%)</t>
  </si>
  <si>
    <t>PAT</t>
  </si>
  <si>
    <t>PAT Margin (%)</t>
  </si>
  <si>
    <t>EPS</t>
  </si>
  <si>
    <t>Balance Sheet Comparision</t>
  </si>
  <si>
    <t>Total Networth</t>
  </si>
  <si>
    <t>Total Debt</t>
  </si>
  <si>
    <t>Long Term</t>
  </si>
  <si>
    <t>Short Term</t>
  </si>
  <si>
    <t>Cash Flow</t>
  </si>
  <si>
    <t>CFO</t>
  </si>
  <si>
    <t>FCF</t>
  </si>
  <si>
    <t>No. of Shares</t>
  </si>
  <si>
    <t>Market Cap</t>
  </si>
  <si>
    <t>Enterprise Value</t>
  </si>
  <si>
    <t>Stock P:E</t>
  </si>
  <si>
    <t>Dividend Yield</t>
  </si>
  <si>
    <t>Price:Book Value</t>
  </si>
  <si>
    <t>EV/ EBITDA</t>
  </si>
  <si>
    <t>OPERATIONAL RATIOS COMPARISION</t>
  </si>
  <si>
    <t>CMP (As on 31.03.2021)</t>
  </si>
  <si>
    <t>Book Value</t>
  </si>
  <si>
    <t>Book Value per Share</t>
  </si>
  <si>
    <t>ROE</t>
  </si>
  <si>
    <t>ROCE</t>
  </si>
  <si>
    <t>Fixed Asset Turnover</t>
  </si>
  <si>
    <t>Receivable days</t>
  </si>
  <si>
    <t>Inventory Days</t>
  </si>
  <si>
    <t>Payable days</t>
  </si>
  <si>
    <t>Cash Conversion Cycle</t>
  </si>
  <si>
    <t>Working Capital Days</t>
  </si>
  <si>
    <t>Gross Debt/Equity</t>
  </si>
  <si>
    <t>Net Debt/Equity</t>
  </si>
  <si>
    <t>Interest Coverage Ratio</t>
  </si>
  <si>
    <t>Interest Cost (%)</t>
  </si>
  <si>
    <t>Balance Sheet</t>
  </si>
  <si>
    <t>March Year Ended (INR Mn)</t>
  </si>
  <si>
    <t>FY23</t>
  </si>
  <si>
    <t>FY24</t>
  </si>
  <si>
    <t xml:space="preserve">FY25 </t>
  </si>
  <si>
    <t>FY26</t>
  </si>
  <si>
    <t>Q1FY27</t>
  </si>
  <si>
    <t>Growth (%)</t>
  </si>
  <si>
    <t>CAGR (%) - 3 Years</t>
  </si>
  <si>
    <t>Expenses</t>
  </si>
  <si>
    <t>Employee Benefit Expense</t>
  </si>
  <si>
    <t>Other Expenses</t>
  </si>
  <si>
    <t>EBITDA margin (%)</t>
  </si>
  <si>
    <t>Other Income</t>
  </si>
  <si>
    <t>Depreciation and amortization expense</t>
  </si>
  <si>
    <t>Finance Cost</t>
  </si>
  <si>
    <t>Exceptional Item</t>
  </si>
  <si>
    <t>PBT</t>
  </si>
  <si>
    <t>Tax</t>
  </si>
  <si>
    <t>Effective tax rate (%)</t>
  </si>
  <si>
    <t>Net Profit for the Year</t>
  </si>
  <si>
    <t>PAT margin (%)</t>
  </si>
  <si>
    <t>Other Comprehensive Income</t>
  </si>
  <si>
    <t>Total  Comprehensive Income</t>
  </si>
  <si>
    <t>Basic</t>
  </si>
  <si>
    <t>Diluted</t>
  </si>
  <si>
    <t>CASH FLOW STATEMENT</t>
  </si>
  <si>
    <t>FY25</t>
  </si>
  <si>
    <t>Cash and Cash Equivalents at Beginning of the year</t>
  </si>
  <si>
    <t>Cash Flow From Operating Activities</t>
  </si>
  <si>
    <t>Cash Flow from Investing Activities</t>
  </si>
  <si>
    <t>Cash Flow From Financing Activities</t>
  </si>
  <si>
    <t>Net Inc./(Dec.) in Cash and Cash Equivalent</t>
  </si>
  <si>
    <t>Cash and Cash Equivalents at End of the year</t>
  </si>
  <si>
    <t>Our Calculations</t>
  </si>
  <si>
    <t xml:space="preserve">Operating Cash Inflow </t>
  </si>
  <si>
    <t>Capital Expenditure</t>
  </si>
  <si>
    <t>No. of Shares (in Mn)</t>
  </si>
  <si>
    <t>Face Value per share (INR)</t>
  </si>
  <si>
    <t>Market Cap (INR Mn)</t>
  </si>
  <si>
    <t>Cash</t>
  </si>
  <si>
    <t>TOTAL EQUITY AND LIABILITIES</t>
  </si>
  <si>
    <t>TOTAL ASSETS</t>
  </si>
  <si>
    <t>CMP(Rs)</t>
  </si>
  <si>
    <t>EPS (Rs)</t>
  </si>
  <si>
    <t>BVPS (Rs)</t>
  </si>
  <si>
    <t>P/E (x)</t>
  </si>
  <si>
    <t>P/BV (x)</t>
  </si>
  <si>
    <t>EV/EBIDTA (x)</t>
  </si>
  <si>
    <t>Fixed Asset Tunover</t>
  </si>
  <si>
    <t>RoE (%)</t>
  </si>
  <si>
    <t>RoCE (%)</t>
  </si>
  <si>
    <t>Gross D/E(x)</t>
  </si>
  <si>
    <t>Net D/E (x)</t>
  </si>
  <si>
    <t>Debtor Days</t>
  </si>
  <si>
    <t>Creditor Days</t>
  </si>
  <si>
    <t>Cash Conversion cycle</t>
  </si>
  <si>
    <t>Interest Cost</t>
  </si>
  <si>
    <t>Interest Coverage</t>
  </si>
  <si>
    <t>Q1-FY27</t>
  </si>
  <si>
    <t xml:space="preserve">Revenue from operations </t>
  </si>
  <si>
    <t>Changes in Inventories of Finished Goods, By-Products and Working-in-Progress</t>
  </si>
  <si>
    <t xml:space="preserve"> Purchase of Traded Goods</t>
  </si>
  <si>
    <t>Cost of Materials Consumed</t>
  </si>
  <si>
    <t>PBT &amp; JV</t>
  </si>
  <si>
    <t>JV Gain/(loss)</t>
  </si>
  <si>
    <t>I. ASSETS</t>
  </si>
  <si>
    <t>1. NON-CURRENT ASSETS</t>
  </si>
  <si>
    <t>(a) Property, Plant and Equipment</t>
  </si>
  <si>
    <t>(b) Capital Work-In-Progress</t>
  </si>
  <si>
    <t>(c) Right of Use Asset</t>
  </si>
  <si>
    <t>(d) Goodwill</t>
  </si>
  <si>
    <t>(e) Other Intangible Assets</t>
  </si>
  <si>
    <t>(f) Financial Assets</t>
  </si>
  <si>
    <t xml:space="preserve">    (i) Investments</t>
  </si>
  <si>
    <t xml:space="preserve">    (ii) Loans</t>
  </si>
  <si>
    <t xml:space="preserve">    (iii) Other Financial Assets</t>
  </si>
  <si>
    <t>(g) Deferred Tax Asset</t>
  </si>
  <si>
    <t>(h) Other Non-Current Assets</t>
  </si>
  <si>
    <t>TOTAL NON-CURRENT ASSETS</t>
  </si>
  <si>
    <t>2. CURRENT ASSETS</t>
  </si>
  <si>
    <t>(a) Inventories</t>
  </si>
  <si>
    <t>(b) Financial Assets</t>
  </si>
  <si>
    <t xml:space="preserve">    (i) Trade Receivables</t>
  </si>
  <si>
    <t xml:space="preserve">    (ii) Cash and Cash Equivalents</t>
  </si>
  <si>
    <t xml:space="preserve">    (iii) Loans</t>
  </si>
  <si>
    <t xml:space="preserve">    (iv) Other Financial Assets</t>
  </si>
  <si>
    <t>(c) Other Current Assets</t>
  </si>
  <si>
    <t>TOTAL CURRENT ASSETS</t>
  </si>
  <si>
    <t>II. EQUITY AND LIABILITIES</t>
  </si>
  <si>
    <t>1. EQUITY</t>
  </si>
  <si>
    <t>(a) Equity Share Capital</t>
  </si>
  <si>
    <t>(b) Other Equity</t>
  </si>
  <si>
    <t>Equity attributable to owners of the Company</t>
  </si>
  <si>
    <t>Non-Controlling Interests</t>
  </si>
  <si>
    <t>TOTAL EQUITY</t>
  </si>
  <si>
    <t>2. LIABILITIES</t>
  </si>
  <si>
    <t>2.1 NON-CURRENT LIABILITIES</t>
  </si>
  <si>
    <t>(a) Financial Liabilities</t>
  </si>
  <si>
    <t xml:space="preserve">    (i) Borrowings</t>
  </si>
  <si>
    <t xml:space="preserve">    (ii) Lease Liabilities</t>
  </si>
  <si>
    <t xml:space="preserve">    (iii) Other Financial Liabilities</t>
  </si>
  <si>
    <t>(b) Provisions</t>
  </si>
  <si>
    <t>(c) Deferred Tax Liabilities (Net)</t>
  </si>
  <si>
    <t>TOTAL NON-CURRENT LIABILITIES</t>
  </si>
  <si>
    <t>2.2 CURRENT LIABILITIES</t>
  </si>
  <si>
    <t xml:space="preserve">    (iii) Trade Payables - Micro enterprises</t>
  </si>
  <si>
    <t xml:space="preserve">    (iii) Trade Payables - Other enterprises</t>
  </si>
  <si>
    <t xml:space="preserve">    (iv) Other Financial Liabilities</t>
  </si>
  <si>
    <t>(b) Current Tax Liabilities</t>
  </si>
  <si>
    <t>(c) Other Current Liabilities</t>
  </si>
  <si>
    <t>(d) Provisions</t>
  </si>
  <si>
    <t>TOTAL CURRENT LIABILITIES</t>
  </si>
  <si>
    <t>Xtranet Technologies Ltd</t>
  </si>
  <si>
    <t>-</t>
  </si>
  <si>
    <t>Capital Employed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</si>
</sst>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* #,##0.00_);_(* \(#,##0.00\);_(* \-??_);_(@_)"/>
    <numFmt numFmtId="165" formatCode="0.0%"/>
    <numFmt numFmtId="166" formatCode="_ * #,##0_ ;_ * \-#,##0_ ;_ * \-??_ ;_ @_ "/>
    <numFmt numFmtId="167" formatCode="_ * #,##0.00_ ;_ * \-#,##0.00_ ;_ * \-??_ ;_ @_ "/>
    <numFmt numFmtId="168" formatCode="_(* #,##0.0_);_(* \(#,##0.0\);_(* \-??_);_(@_)"/>
    <numFmt numFmtId="169" formatCode="_(* #,##0_);_(* \(#,##0\);_(* \-??_);_(@_)"/>
    <numFmt numFmtId="170" formatCode="#,##0.00;\(#,##0.00\)"/>
    <numFmt numFmtId="171" formatCode="0.00_ ;\-0.00\ "/>
    <numFmt numFmtId="172" formatCode="0.0"/>
  </numFmts>
  <fonts count="17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name val="Calibri"/>
      <family val="2"/>
      <charset val="1"/>
    </font>
    <font>
      <b/>
      <sz val="14"/>
      <color theme="1"/>
      <name val="Calibri"/>
      <family val="2"/>
      <charset val="1"/>
    </font>
    <font>
      <b/>
      <sz val="12"/>
      <color theme="1"/>
      <name val="Calibri"/>
      <family val="2"/>
      <charset val="1"/>
    </font>
    <font>
      <b/>
      <sz val="11"/>
      <color theme="1"/>
      <name val="Calibri"/>
      <family val="2"/>
      <charset val="1"/>
    </font>
    <font>
      <b/>
      <sz val="12"/>
      <name val="Calibri"/>
      <family val="2"/>
      <charset val="1"/>
    </font>
    <font>
      <sz val="11"/>
      <color theme="1"/>
      <name val="Calibri"/>
      <family val="2"/>
      <charset val="1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i/>
      <sz val="12"/>
      <color rgb="FF0070C0"/>
      <name val="Calibri"/>
      <family val="2"/>
    </font>
    <font>
      <u/>
      <sz val="12"/>
      <color theme="1"/>
      <name val="Calibri"/>
      <family val="2"/>
    </font>
    <font>
      <b/>
      <i/>
      <sz val="12"/>
      <color theme="1"/>
      <name val="Calibri"/>
      <family val="2"/>
    </font>
    <font>
      <i/>
      <sz val="12"/>
      <color theme="1"/>
      <name val="Calibri"/>
      <family val="2"/>
    </font>
    <font>
      <b/>
      <sz val="16"/>
      <color theme="1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  <fill>
      <patternFill patternType="solid">
        <fgColor theme="2" tint="-9.9978637043366805E-2"/>
        <bgColor rgb="FFC9C9C9"/>
      </patternFill>
    </fill>
    <fill>
      <patternFill patternType="solid">
        <fgColor theme="0" tint="-4.9989318521683403E-2"/>
        <bgColor rgb="FFEDEDED"/>
      </patternFill>
    </fill>
    <fill>
      <patternFill patternType="solid">
        <fgColor theme="0" tint="-0.249977111117893"/>
        <bgColor rgb="FFC9C9C9"/>
      </patternFill>
    </fill>
    <fill>
      <patternFill patternType="solid">
        <fgColor rgb="FFFF0000"/>
        <bgColor rgb="FF993300"/>
      </patternFill>
    </fill>
    <fill>
      <patternFill patternType="solid">
        <fgColor theme="6" tint="0.39988402966399123"/>
        <bgColor rgb="FFD0CECE"/>
      </patternFill>
    </fill>
    <fill>
      <patternFill patternType="solid">
        <fgColor theme="7" tint="0.59987182226020086"/>
        <bgColor rgb="FFF8CBAD"/>
      </patternFill>
    </fill>
    <fill>
      <patternFill patternType="solid">
        <fgColor theme="6" tint="0.79989013336588644"/>
        <bgColor rgb="FFF2F2F2"/>
      </patternFill>
    </fill>
    <fill>
      <patternFill patternType="solid">
        <fgColor theme="4" tint="0.59987182226020086"/>
        <bgColor rgb="FFD0CECE"/>
      </patternFill>
    </fill>
    <fill>
      <patternFill patternType="solid">
        <fgColor rgb="FFE8E8E8"/>
        <bgColor rgb="FFE8E8E8"/>
      </patternFill>
    </fill>
    <fill>
      <patternFill patternType="solid">
        <fgColor theme="4" tint="0.59999389629810485"/>
        <bgColor rgb="FFD0CECE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rgb="FFFFE69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79998168889431442"/>
        <bgColor rgb="FFD3D3D3"/>
      </patternFill>
    </fill>
    <fill>
      <patternFill patternType="solid">
        <fgColor theme="6" tint="0.79998168889431442"/>
        <bgColor rgb="FFE8E8E8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1">
    <xf numFmtId="0" fontId="0" fillId="0" borderId="0"/>
    <xf numFmtId="164" fontId="7" fillId="0" borderId="0"/>
    <xf numFmtId="9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0" fontId="1" fillId="0" borderId="0"/>
  </cellStyleXfs>
  <cellXfs count="182">
    <xf numFmtId="0" fontId="0" fillId="0" borderId="0" xfId="0"/>
    <xf numFmtId="0" fontId="0" fillId="2" borderId="0" xfId="0" applyFill="1" applyAlignment="1">
      <alignment vertical="top"/>
    </xf>
    <xf numFmtId="0" fontId="2" fillId="2" borderId="0" xfId="0" applyFont="1" applyFill="1" applyAlignment="1">
      <alignment vertical="top"/>
    </xf>
    <xf numFmtId="0" fontId="3" fillId="3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5" fillId="5" borderId="2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4" fillId="4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center" vertical="top"/>
    </xf>
    <xf numFmtId="0" fontId="0" fillId="0" borderId="2" xfId="0" applyBorder="1" applyAlignment="1">
      <alignment vertical="top"/>
    </xf>
    <xf numFmtId="0" fontId="0" fillId="2" borderId="2" xfId="0" applyFill="1" applyBorder="1" applyAlignment="1">
      <alignment vertical="top"/>
    </xf>
    <xf numFmtId="0" fontId="2" fillId="2" borderId="2" xfId="0" applyFont="1" applyFill="1" applyBorder="1" applyAlignment="1">
      <alignment vertical="top"/>
    </xf>
    <xf numFmtId="164" fontId="0" fillId="0" borderId="2" xfId="3" applyFont="1" applyBorder="1" applyAlignment="1">
      <alignment vertical="top"/>
    </xf>
    <xf numFmtId="164" fontId="0" fillId="2" borderId="2" xfId="3" applyFont="1" applyFill="1" applyBorder="1" applyAlignment="1">
      <alignment vertical="top"/>
    </xf>
    <xf numFmtId="165" fontId="2" fillId="0" borderId="2" xfId="2" applyNumberFormat="1" applyFont="1" applyBorder="1" applyAlignment="1">
      <alignment vertical="top"/>
    </xf>
    <xf numFmtId="165" fontId="2" fillId="2" borderId="2" xfId="2" applyNumberFormat="1" applyFont="1" applyFill="1" applyBorder="1" applyAlignment="1">
      <alignment vertical="top"/>
    </xf>
    <xf numFmtId="164" fontId="5" fillId="0" borderId="2" xfId="3" applyFont="1" applyBorder="1" applyAlignment="1">
      <alignment vertical="top"/>
    </xf>
    <xf numFmtId="164" fontId="5" fillId="2" borderId="2" xfId="3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10" fontId="5" fillId="0" borderId="2" xfId="2" applyNumberFormat="1" applyFont="1" applyBorder="1" applyAlignment="1">
      <alignment vertical="top"/>
    </xf>
    <xf numFmtId="164" fontId="5" fillId="0" borderId="2" xfId="0" applyNumberFormat="1" applyFont="1" applyBorder="1" applyAlignment="1">
      <alignment vertical="top"/>
    </xf>
    <xf numFmtId="164" fontId="5" fillId="2" borderId="2" xfId="0" applyNumberFormat="1" applyFont="1" applyFill="1" applyBorder="1" applyAlignment="1">
      <alignment vertical="top"/>
    </xf>
    <xf numFmtId="10" fontId="5" fillId="2" borderId="2" xfId="2" applyNumberFormat="1" applyFont="1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0" fontId="5" fillId="0" borderId="2" xfId="0" applyFont="1" applyBorder="1" applyAlignment="1">
      <alignment vertical="top"/>
    </xf>
    <xf numFmtId="0" fontId="0" fillId="2" borderId="2" xfId="0" applyFill="1" applyBorder="1" applyAlignment="1">
      <alignment horizontal="right" vertical="top"/>
    </xf>
    <xf numFmtId="0" fontId="0" fillId="6" borderId="2" xfId="0" applyFill="1" applyBorder="1" applyAlignment="1">
      <alignment vertical="top"/>
    </xf>
    <xf numFmtId="164" fontId="0" fillId="0" borderId="2" xfId="7" applyFont="1" applyBorder="1" applyAlignment="1">
      <alignment vertical="top"/>
    </xf>
    <xf numFmtId="0" fontId="2" fillId="0" borderId="2" xfId="0" applyFont="1" applyBorder="1" applyAlignment="1">
      <alignment vertical="top"/>
    </xf>
    <xf numFmtId="166" fontId="0" fillId="0" borderId="2" xfId="3" applyNumberFormat="1" applyFont="1" applyBorder="1" applyAlignment="1">
      <alignment vertical="top"/>
    </xf>
    <xf numFmtId="167" fontId="5" fillId="0" borderId="2" xfId="3" applyNumberFormat="1" applyFont="1" applyBorder="1" applyAlignment="1">
      <alignment vertical="top"/>
    </xf>
    <xf numFmtId="167" fontId="5" fillId="2" borderId="2" xfId="3" applyNumberFormat="1" applyFont="1" applyFill="1" applyBorder="1" applyAlignment="1">
      <alignment vertical="top"/>
    </xf>
    <xf numFmtId="168" fontId="0" fillId="0" borderId="2" xfId="0" applyNumberFormat="1" applyBorder="1" applyAlignment="1">
      <alignment vertical="top"/>
    </xf>
    <xf numFmtId="165" fontId="0" fillId="0" borderId="2" xfId="0" applyNumberFormat="1" applyBorder="1" applyAlignment="1">
      <alignment vertical="top"/>
    </xf>
    <xf numFmtId="165" fontId="0" fillId="2" borderId="2" xfId="0" applyNumberFormat="1" applyFill="1" applyBorder="1" applyAlignment="1">
      <alignment vertical="top"/>
    </xf>
    <xf numFmtId="165" fontId="0" fillId="2" borderId="2" xfId="2" applyNumberFormat="1" applyFont="1" applyFill="1" applyBorder="1" applyAlignment="1">
      <alignment vertical="top"/>
    </xf>
    <xf numFmtId="169" fontId="0" fillId="0" borderId="2" xfId="0" applyNumberFormat="1" applyBorder="1" applyAlignment="1">
      <alignment vertical="top"/>
    </xf>
    <xf numFmtId="169" fontId="0" fillId="6" borderId="2" xfId="0" applyNumberForma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4" fillId="4" borderId="2" xfId="0" applyFont="1" applyFill="1" applyBorder="1" applyAlignment="1">
      <alignment horizontal="center" vertical="center" wrapText="1"/>
    </xf>
    <xf numFmtId="168" fontId="7" fillId="0" borderId="2" xfId="1" applyNumberFormat="1" applyBorder="1"/>
    <xf numFmtId="168" fontId="7" fillId="0" borderId="16" xfId="1" applyNumberFormat="1" applyBorder="1"/>
    <xf numFmtId="0" fontId="9" fillId="0" borderId="0" xfId="0" applyFont="1"/>
    <xf numFmtId="0" fontId="8" fillId="7" borderId="4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8" borderId="10" xfId="0" applyFont="1" applyFill="1" applyBorder="1"/>
    <xf numFmtId="0" fontId="8" fillId="8" borderId="11" xfId="0" applyFont="1" applyFill="1" applyBorder="1" applyAlignment="1">
      <alignment horizontal="center"/>
    </xf>
    <xf numFmtId="0" fontId="8" fillId="8" borderId="9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 indent="2"/>
    </xf>
    <xf numFmtId="0" fontId="9" fillId="0" borderId="2" xfId="0" applyFont="1" applyBorder="1"/>
    <xf numFmtId="168" fontId="9" fillId="0" borderId="2" xfId="1" applyNumberFormat="1" applyFont="1" applyBorder="1"/>
    <xf numFmtId="168" fontId="9" fillId="0" borderId="16" xfId="1" applyNumberFormat="1" applyFont="1" applyBorder="1"/>
    <xf numFmtId="0" fontId="11" fillId="0" borderId="0" xfId="0" applyFont="1" applyAlignment="1">
      <alignment horizontal="left" vertical="top" wrapText="1" indent="1"/>
    </xf>
    <xf numFmtId="171" fontId="12" fillId="9" borderId="2" xfId="2" applyNumberFormat="1" applyFont="1" applyFill="1" applyBorder="1"/>
    <xf numFmtId="165" fontId="12" fillId="9" borderId="2" xfId="2" applyNumberFormat="1" applyFont="1" applyFill="1" applyBorder="1"/>
    <xf numFmtId="165" fontId="12" fillId="9" borderId="16" xfId="2" applyNumberFormat="1" applyFont="1" applyFill="1" applyBorder="1"/>
    <xf numFmtId="2" fontId="10" fillId="0" borderId="2" xfId="0" applyNumberFormat="1" applyFont="1" applyBorder="1" applyAlignment="1">
      <alignment horizontal="right" vertical="top" wrapText="1"/>
    </xf>
    <xf numFmtId="0" fontId="10" fillId="0" borderId="2" xfId="0" applyFont="1" applyBorder="1" applyAlignment="1">
      <alignment vertical="top" wrapText="1"/>
    </xf>
    <xf numFmtId="0" fontId="10" fillId="0" borderId="16" xfId="0" applyFont="1" applyBorder="1" applyAlignment="1">
      <alignment vertical="top" wrapText="1"/>
    </xf>
    <xf numFmtId="10" fontId="12" fillId="9" borderId="2" xfId="2" applyNumberFormat="1" applyFont="1" applyFill="1" applyBorder="1"/>
    <xf numFmtId="10" fontId="12" fillId="9" borderId="16" xfId="2" applyNumberFormat="1" applyFont="1" applyFill="1" applyBorder="1"/>
    <xf numFmtId="165" fontId="12" fillId="9" borderId="16" xfId="1" applyNumberFormat="1" applyFont="1" applyFill="1" applyBorder="1"/>
    <xf numFmtId="0" fontId="9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left" vertical="center" wrapText="1"/>
    </xf>
    <xf numFmtId="0" fontId="8" fillId="0" borderId="0" xfId="0" applyFont="1"/>
    <xf numFmtId="0" fontId="10" fillId="0" borderId="0" xfId="0" applyFont="1" applyAlignment="1">
      <alignment horizontal="left" vertical="top" wrapText="1" indent="4"/>
    </xf>
    <xf numFmtId="10" fontId="12" fillId="0" borderId="16" xfId="2" applyNumberFormat="1" applyFont="1" applyBorder="1"/>
    <xf numFmtId="0" fontId="12" fillId="9" borderId="17" xfId="0" applyFont="1" applyFill="1" applyBorder="1"/>
    <xf numFmtId="165" fontId="12" fillId="9" borderId="18" xfId="2" applyNumberFormat="1" applyFont="1" applyFill="1" applyBorder="1"/>
    <xf numFmtId="165" fontId="12" fillId="9" borderId="19" xfId="1" applyNumberFormat="1" applyFont="1" applyFill="1" applyBorder="1"/>
    <xf numFmtId="0" fontId="9" fillId="0" borderId="7" xfId="0" applyFont="1" applyBorder="1"/>
    <xf numFmtId="165" fontId="12" fillId="0" borderId="0" xfId="2" applyNumberFormat="1" applyFont="1"/>
    <xf numFmtId="0" fontId="8" fillId="8" borderId="5" xfId="0" applyFont="1" applyFill="1" applyBorder="1" applyAlignment="1">
      <alignment horizontal="center"/>
    </xf>
    <xf numFmtId="0" fontId="8" fillId="8" borderId="6" xfId="0" applyFont="1" applyFill="1" applyBorder="1" applyAlignment="1">
      <alignment horizontal="center"/>
    </xf>
    <xf numFmtId="0" fontId="9" fillId="0" borderId="7" xfId="0" applyFont="1" applyBorder="1" applyAlignment="1">
      <alignment horizontal="left" indent="1"/>
    </xf>
    <xf numFmtId="167" fontId="9" fillId="0" borderId="0" xfId="0" applyNumberFormat="1" applyFont="1"/>
    <xf numFmtId="0" fontId="14" fillId="9" borderId="7" xfId="0" applyFont="1" applyFill="1" applyBorder="1"/>
    <xf numFmtId="0" fontId="8" fillId="10" borderId="4" xfId="0" applyFont="1" applyFill="1" applyBorder="1"/>
    <xf numFmtId="170" fontId="8" fillId="10" borderId="5" xfId="1" applyNumberFormat="1" applyFont="1" applyFill="1" applyBorder="1"/>
    <xf numFmtId="167" fontId="8" fillId="0" borderId="0" xfId="1" applyNumberFormat="1" applyFont="1"/>
    <xf numFmtId="0" fontId="9" fillId="9" borderId="7" xfId="0" applyFont="1" applyFill="1" applyBorder="1"/>
    <xf numFmtId="170" fontId="9" fillId="0" borderId="0" xfId="1" applyNumberFormat="1" applyFont="1"/>
    <xf numFmtId="170" fontId="8" fillId="10" borderId="6" xfId="1" applyNumberFormat="1" applyFont="1" applyFill="1" applyBorder="1"/>
    <xf numFmtId="170" fontId="9" fillId="0" borderId="0" xfId="0" applyNumberFormat="1" applyFont="1"/>
    <xf numFmtId="164" fontId="9" fillId="0" borderId="0" xfId="0" applyNumberFormat="1" applyFont="1"/>
    <xf numFmtId="4" fontId="10" fillId="0" borderId="0" xfId="0" applyNumberFormat="1" applyFont="1" applyAlignment="1">
      <alignment horizontal="left" vertical="top" wrapText="1" indent="2"/>
    </xf>
    <xf numFmtId="0" fontId="8" fillId="2" borderId="0" xfId="0" applyFont="1" applyFill="1"/>
    <xf numFmtId="167" fontId="8" fillId="2" borderId="0" xfId="1" applyNumberFormat="1" applyFont="1" applyFill="1"/>
    <xf numFmtId="167" fontId="9" fillId="0" borderId="0" xfId="1" applyNumberFormat="1" applyFont="1"/>
    <xf numFmtId="0" fontId="9" fillId="0" borderId="15" xfId="0" applyFont="1" applyBorder="1"/>
    <xf numFmtId="0" fontId="15" fillId="0" borderId="0" xfId="0" applyFont="1" applyAlignment="1">
      <alignment horizontal="left"/>
    </xf>
    <xf numFmtId="0" fontId="16" fillId="7" borderId="3" xfId="0" applyFont="1" applyFill="1" applyBorder="1" applyAlignment="1">
      <alignment horizontal="center" vertical="center"/>
    </xf>
    <xf numFmtId="168" fontId="8" fillId="0" borderId="2" xfId="1" applyNumberFormat="1" applyFont="1" applyBorder="1"/>
    <xf numFmtId="168" fontId="8" fillId="0" borderId="16" xfId="1" applyNumberFormat="1" applyFont="1" applyBorder="1"/>
    <xf numFmtId="168" fontId="8" fillId="13" borderId="2" xfId="1" applyNumberFormat="1" applyFont="1" applyFill="1" applyBorder="1"/>
    <xf numFmtId="168" fontId="8" fillId="13" borderId="16" xfId="1" applyNumberFormat="1" applyFont="1" applyFill="1" applyBorder="1"/>
    <xf numFmtId="0" fontId="16" fillId="7" borderId="20" xfId="0" applyFont="1" applyFill="1" applyBorder="1" applyAlignment="1">
      <alignment horizontal="center" vertical="center"/>
    </xf>
    <xf numFmtId="0" fontId="8" fillId="0" borderId="15" xfId="0" applyFont="1" applyBorder="1"/>
    <xf numFmtId="0" fontId="12" fillId="9" borderId="15" xfId="0" applyFont="1" applyFill="1" applyBorder="1"/>
    <xf numFmtId="0" fontId="13" fillId="0" borderId="15" xfId="0" applyFont="1" applyBorder="1"/>
    <xf numFmtId="0" fontId="9" fillId="0" borderId="15" xfId="0" applyFont="1" applyBorder="1" applyAlignment="1">
      <alignment horizontal="left" indent="1"/>
    </xf>
    <xf numFmtId="0" fontId="8" fillId="12" borderId="15" xfId="0" applyFont="1" applyFill="1" applyBorder="1"/>
    <xf numFmtId="0" fontId="9" fillId="0" borderId="15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8" fillId="9" borderId="15" xfId="0" applyFont="1" applyFill="1" applyBorder="1"/>
    <xf numFmtId="168" fontId="8" fillId="14" borderId="2" xfId="1" applyNumberFormat="1" applyFont="1" applyFill="1" applyBorder="1"/>
    <xf numFmtId="168" fontId="8" fillId="14" borderId="16" xfId="1" applyNumberFormat="1" applyFont="1" applyFill="1" applyBorder="1"/>
    <xf numFmtId="168" fontId="9" fillId="14" borderId="2" xfId="1" applyNumberFormat="1" applyFont="1" applyFill="1" applyBorder="1"/>
    <xf numFmtId="168" fontId="9" fillId="14" borderId="16" xfId="1" applyNumberFormat="1" applyFont="1" applyFill="1" applyBorder="1"/>
    <xf numFmtId="172" fontId="10" fillId="0" borderId="2" xfId="2" applyNumberFormat="1" applyFont="1" applyBorder="1"/>
    <xf numFmtId="172" fontId="9" fillId="0" borderId="2" xfId="0" applyNumberFormat="1" applyFont="1" applyBorder="1" applyAlignment="1">
      <alignment horizontal="right" vertical="center"/>
    </xf>
    <xf numFmtId="172" fontId="9" fillId="0" borderId="16" xfId="0" applyNumberFormat="1" applyFont="1" applyBorder="1" applyAlignment="1">
      <alignment horizontal="right" vertical="center"/>
    </xf>
    <xf numFmtId="0" fontId="8" fillId="15" borderId="4" xfId="0" applyFont="1" applyFill="1" applyBorder="1"/>
    <xf numFmtId="0" fontId="9" fillId="16" borderId="0" xfId="0" applyFont="1" applyFill="1" applyBorder="1"/>
    <xf numFmtId="0" fontId="9" fillId="16" borderId="8" xfId="0" applyFont="1" applyFill="1" applyBorder="1"/>
    <xf numFmtId="172" fontId="9" fillId="0" borderId="0" xfId="0" applyNumberFormat="1" applyFont="1" applyBorder="1"/>
    <xf numFmtId="172" fontId="9" fillId="0" borderId="8" xfId="0" applyNumberFormat="1" applyFont="1" applyBorder="1"/>
    <xf numFmtId="172" fontId="9" fillId="16" borderId="0" xfId="0" applyNumberFormat="1" applyFont="1" applyFill="1" applyBorder="1"/>
    <xf numFmtId="172" fontId="9" fillId="16" borderId="8" xfId="0" applyNumberFormat="1" applyFont="1" applyFill="1" applyBorder="1"/>
    <xf numFmtId="172" fontId="8" fillId="10" borderId="5" xfId="1" applyNumberFormat="1" applyFont="1" applyFill="1" applyBorder="1"/>
    <xf numFmtId="172" fontId="8" fillId="10" borderId="6" xfId="1" applyNumberFormat="1" applyFont="1" applyFill="1" applyBorder="1"/>
    <xf numFmtId="170" fontId="9" fillId="9" borderId="0" xfId="1" applyNumberFormat="1" applyFont="1" applyFill="1" applyBorder="1"/>
    <xf numFmtId="170" fontId="9" fillId="17" borderId="0" xfId="1" applyNumberFormat="1" applyFont="1" applyFill="1" applyBorder="1"/>
    <xf numFmtId="170" fontId="9" fillId="17" borderId="8" xfId="1" applyNumberFormat="1" applyFont="1" applyFill="1" applyBorder="1"/>
    <xf numFmtId="170" fontId="9" fillId="0" borderId="0" xfId="1" applyNumberFormat="1" applyFont="1" applyFill="1" applyBorder="1"/>
    <xf numFmtId="4" fontId="9" fillId="0" borderId="0" xfId="0" applyNumberFormat="1" applyFont="1" applyFill="1" applyBorder="1"/>
    <xf numFmtId="0" fontId="9" fillId="0" borderId="0" xfId="0" applyFont="1" applyFill="1" applyBorder="1"/>
    <xf numFmtId="0" fontId="9" fillId="0" borderId="8" xfId="0" applyFont="1" applyFill="1" applyBorder="1"/>
    <xf numFmtId="170" fontId="9" fillId="0" borderId="8" xfId="1" applyNumberFormat="1" applyFont="1" applyFill="1" applyBorder="1"/>
    <xf numFmtId="170" fontId="9" fillId="9" borderId="8" xfId="1" applyNumberFormat="1" applyFont="1" applyFill="1" applyBorder="1" applyAlignment="1">
      <alignment horizontal="right"/>
    </xf>
    <xf numFmtId="170" fontId="8" fillId="10" borderId="6" xfId="1" applyNumberFormat="1" applyFont="1" applyFill="1" applyBorder="1" applyAlignment="1">
      <alignment horizontal="right"/>
    </xf>
    <xf numFmtId="4" fontId="9" fillId="16" borderId="2" xfId="0" applyNumberFormat="1" applyFont="1" applyFill="1" applyBorder="1" applyAlignment="1">
      <alignment horizontal="right" vertical="center"/>
    </xf>
    <xf numFmtId="0" fontId="11" fillId="16" borderId="2" xfId="0" applyFont="1" applyFill="1" applyBorder="1" applyAlignment="1">
      <alignment horizontal="left" vertical="top" wrapText="1" indent="1"/>
    </xf>
    <xf numFmtId="0" fontId="10" fillId="16" borderId="2" xfId="0" applyFont="1" applyFill="1" applyBorder="1" applyAlignment="1">
      <alignment horizontal="left" vertical="top" wrapText="1" indent="2"/>
    </xf>
    <xf numFmtId="172" fontId="9" fillId="0" borderId="2" xfId="0" applyNumberFormat="1" applyFont="1" applyBorder="1"/>
    <xf numFmtId="172" fontId="11" fillId="18" borderId="2" xfId="0" applyNumberFormat="1" applyFont="1" applyFill="1" applyBorder="1" applyAlignment="1">
      <alignment horizontal="right" vertical="center"/>
    </xf>
    <xf numFmtId="172" fontId="11" fillId="18" borderId="2" xfId="0" applyNumberFormat="1" applyFont="1" applyFill="1" applyBorder="1" applyAlignment="1">
      <alignment horizontal="center" vertical="center" wrapText="1"/>
    </xf>
    <xf numFmtId="172" fontId="11" fillId="11" borderId="2" xfId="0" applyNumberFormat="1" applyFont="1" applyFill="1" applyBorder="1" applyAlignment="1">
      <alignment horizontal="right" vertical="center"/>
    </xf>
    <xf numFmtId="172" fontId="9" fillId="0" borderId="2" xfId="0" applyNumberFormat="1" applyFont="1" applyBorder="1" applyAlignment="1">
      <alignment horizontal="center" vertical="center" wrapText="1"/>
    </xf>
    <xf numFmtId="172" fontId="9" fillId="18" borderId="2" xfId="0" applyNumberFormat="1" applyFont="1" applyFill="1" applyBorder="1"/>
    <xf numFmtId="172" fontId="11" fillId="0" borderId="2" xfId="0" applyNumberFormat="1" applyFont="1" applyFill="1" applyBorder="1" applyAlignment="1">
      <alignment horizontal="center" vertical="center" wrapText="1"/>
    </xf>
    <xf numFmtId="172" fontId="11" fillId="19" borderId="2" xfId="0" applyNumberFormat="1" applyFont="1" applyFill="1" applyBorder="1" applyAlignment="1">
      <alignment horizontal="right" vertical="center"/>
    </xf>
    <xf numFmtId="0" fontId="11" fillId="18" borderId="15" xfId="0" applyFont="1" applyFill="1" applyBorder="1" applyAlignment="1">
      <alignment horizontal="left" vertical="center"/>
    </xf>
    <xf numFmtId="0" fontId="11" fillId="16" borderId="16" xfId="0" applyFont="1" applyFill="1" applyBorder="1" applyAlignment="1">
      <alignment horizontal="left" vertical="top" wrapText="1" indent="1"/>
    </xf>
    <xf numFmtId="0" fontId="10" fillId="16" borderId="16" xfId="0" applyFont="1" applyFill="1" applyBorder="1" applyAlignment="1">
      <alignment horizontal="left" vertical="top" wrapText="1" indent="2"/>
    </xf>
    <xf numFmtId="0" fontId="9" fillId="0" borderId="15" xfId="0" applyFont="1" applyBorder="1" applyAlignment="1">
      <alignment horizontal="left" vertical="center"/>
    </xf>
    <xf numFmtId="172" fontId="9" fillId="0" borderId="16" xfId="0" applyNumberFormat="1" applyFont="1" applyBorder="1"/>
    <xf numFmtId="172" fontId="11" fillId="18" borderId="16" xfId="0" applyNumberFormat="1" applyFont="1" applyFill="1" applyBorder="1" applyAlignment="1">
      <alignment horizontal="right" vertical="center"/>
    </xf>
    <xf numFmtId="172" fontId="11" fillId="18" borderId="16" xfId="0" applyNumberFormat="1" applyFont="1" applyFill="1" applyBorder="1" applyAlignment="1">
      <alignment horizontal="center" vertical="center" wrapText="1"/>
    </xf>
    <xf numFmtId="0" fontId="11" fillId="11" borderId="15" xfId="0" applyFont="1" applyFill="1" applyBorder="1" applyAlignment="1">
      <alignment horizontal="left" vertical="center"/>
    </xf>
    <xf numFmtId="172" fontId="11" fillId="11" borderId="16" xfId="0" applyNumberFormat="1" applyFont="1" applyFill="1" applyBorder="1" applyAlignment="1">
      <alignment horizontal="right" vertical="center"/>
    </xf>
    <xf numFmtId="172" fontId="9" fillId="0" borderId="16" xfId="0" applyNumberFormat="1" applyFont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left" vertical="center"/>
    </xf>
    <xf numFmtId="172" fontId="11" fillId="0" borderId="16" xfId="0" applyNumberFormat="1" applyFont="1" applyFill="1" applyBorder="1" applyAlignment="1">
      <alignment horizontal="center" vertical="center" wrapText="1"/>
    </xf>
    <xf numFmtId="0" fontId="11" fillId="19" borderId="15" xfId="0" applyFont="1" applyFill="1" applyBorder="1" applyAlignment="1">
      <alignment horizontal="left" vertical="center"/>
    </xf>
    <xf numFmtId="172" fontId="11" fillId="19" borderId="16" xfId="0" applyNumberFormat="1" applyFont="1" applyFill="1" applyBorder="1" applyAlignment="1">
      <alignment horizontal="right" vertical="center"/>
    </xf>
    <xf numFmtId="0" fontId="11" fillId="19" borderId="17" xfId="0" applyFont="1" applyFill="1" applyBorder="1" applyAlignment="1">
      <alignment horizontal="left" vertical="center"/>
    </xf>
    <xf numFmtId="172" fontId="11" fillId="19" borderId="18" xfId="0" applyNumberFormat="1" applyFont="1" applyFill="1" applyBorder="1" applyAlignment="1">
      <alignment horizontal="right" vertical="center"/>
    </xf>
    <xf numFmtId="172" fontId="11" fillId="19" borderId="19" xfId="0" applyNumberFormat="1" applyFont="1" applyFill="1" applyBorder="1" applyAlignment="1">
      <alignment horizontal="right" vertical="center"/>
    </xf>
    <xf numFmtId="172" fontId="10" fillId="0" borderId="2" xfId="0" applyNumberFormat="1" applyFont="1" applyFill="1" applyBorder="1" applyAlignment="1">
      <alignment horizontal="right" vertical="center"/>
    </xf>
    <xf numFmtId="172" fontId="10" fillId="0" borderId="16" xfId="0" applyNumberFormat="1" applyFont="1" applyFill="1" applyBorder="1" applyAlignment="1">
      <alignment horizontal="right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21" xfId="0" applyFont="1" applyFill="1" applyBorder="1" applyAlignment="1">
      <alignment horizontal="center" vertical="center"/>
    </xf>
    <xf numFmtId="0" fontId="8" fillId="7" borderId="22" xfId="0" applyFont="1" applyFill="1" applyBorder="1" applyAlignment="1">
      <alignment horizontal="center" vertical="center"/>
    </xf>
    <xf numFmtId="0" fontId="8" fillId="8" borderId="12" xfId="0" applyFont="1" applyFill="1" applyBorder="1"/>
    <xf numFmtId="0" fontId="8" fillId="8" borderId="13" xfId="0" applyFont="1" applyFill="1" applyBorder="1" applyAlignment="1">
      <alignment horizontal="center"/>
    </xf>
    <xf numFmtId="0" fontId="8" fillId="8" borderId="14" xfId="0" applyFont="1" applyFill="1" applyBorder="1" applyAlignment="1">
      <alignment horizontal="center"/>
    </xf>
    <xf numFmtId="167" fontId="9" fillId="0" borderId="2" xfId="1" applyNumberFormat="1" applyFont="1" applyFill="1" applyBorder="1" applyAlignment="1">
      <alignment horizontal="right"/>
    </xf>
    <xf numFmtId="167" fontId="9" fillId="16" borderId="2" xfId="1" applyNumberFormat="1" applyFont="1" applyFill="1" applyBorder="1" applyAlignment="1">
      <alignment horizontal="right"/>
    </xf>
    <xf numFmtId="165" fontId="9" fillId="16" borderId="2" xfId="2" applyNumberFormat="1" applyFont="1" applyFill="1" applyBorder="1" applyAlignment="1">
      <alignment horizontal="right"/>
    </xf>
    <xf numFmtId="166" fontId="9" fillId="16" borderId="2" xfId="1" applyNumberFormat="1" applyFont="1" applyFill="1" applyBorder="1" applyAlignment="1">
      <alignment horizontal="right"/>
    </xf>
    <xf numFmtId="167" fontId="9" fillId="0" borderId="16" xfId="1" applyNumberFormat="1" applyFont="1" applyFill="1" applyBorder="1" applyAlignment="1">
      <alignment horizontal="right"/>
    </xf>
    <xf numFmtId="0" fontId="9" fillId="17" borderId="15" xfId="0" applyFont="1" applyFill="1" applyBorder="1"/>
    <xf numFmtId="167" fontId="9" fillId="16" borderId="16" xfId="1" applyNumberFormat="1" applyFont="1" applyFill="1" applyBorder="1" applyAlignment="1">
      <alignment horizontal="right"/>
    </xf>
    <xf numFmtId="0" fontId="9" fillId="17" borderId="17" xfId="0" applyFont="1" applyFill="1" applyBorder="1"/>
    <xf numFmtId="167" fontId="9" fillId="16" borderId="18" xfId="1" applyNumberFormat="1" applyFont="1" applyFill="1" applyBorder="1" applyAlignment="1">
      <alignment horizontal="right"/>
    </xf>
    <xf numFmtId="167" fontId="9" fillId="16" borderId="19" xfId="1" applyNumberFormat="1" applyFont="1" applyFill="1" applyBorder="1" applyAlignment="1">
      <alignment horizontal="right"/>
    </xf>
  </cellXfs>
  <cellStyles count="11">
    <cellStyle name="Comma" xfId="1" builtinId="3"/>
    <cellStyle name="Comma 2" xfId="3" xr:uid="{00000000-0005-0000-0000-000001000000}"/>
    <cellStyle name="Comma 2 2" xfId="4" xr:uid="{00000000-0005-0000-0000-000002000000}"/>
    <cellStyle name="Comma 2 2 2" xfId="5" xr:uid="{00000000-0005-0000-0000-000003000000}"/>
    <cellStyle name="Comma 2 3" xfId="6" xr:uid="{00000000-0005-0000-0000-000004000000}"/>
    <cellStyle name="Comma 3" xfId="7" xr:uid="{00000000-0005-0000-0000-000005000000}"/>
    <cellStyle name="Comma 3 2" xfId="8" xr:uid="{00000000-0005-0000-0000-000006000000}"/>
    <cellStyle name="Comma 4" xfId="9" xr:uid="{00000000-0005-0000-0000-000007000000}"/>
    <cellStyle name="Normal" xfId="0" builtinId="0"/>
    <cellStyle name="Normal 2" xfId="10" xr:uid="{12CAC08E-4CD5-47DD-A7E7-403221C7C808}"/>
    <cellStyle name="Percent" xfId="2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EDEDED"/>
      <rgbColor rgb="FF660066"/>
      <rgbColor rgb="FFFF8080"/>
      <rgbColor rgb="FF0070C0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0CECE"/>
      <rgbColor rgb="FFFFE699"/>
      <rgbColor rgb="FFC9C9C9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1"/>
  <sheetViews>
    <sheetView topLeftCell="A34" zoomScaleNormal="100" workbookViewId="0">
      <selection activeCell="B6" sqref="B6"/>
    </sheetView>
  </sheetViews>
  <sheetFormatPr defaultColWidth="9.109375" defaultRowHeight="14.4" x14ac:dyDescent="0.3"/>
  <cols>
    <col min="1" max="1" width="25.44140625" style="1" customWidth="1"/>
    <col min="2" max="3" width="14.6640625" style="1" customWidth="1"/>
    <col min="4" max="5" width="14.6640625" style="2" customWidth="1"/>
    <col min="6" max="7" width="14.6640625" style="1" customWidth="1"/>
    <col min="8" max="16384" width="9.109375" style="1"/>
  </cols>
  <sheetData>
    <row r="1" spans="1:7" s="4" customFormat="1" ht="18.75" customHeight="1" x14ac:dyDescent="0.3">
      <c r="A1" s="41" t="s">
        <v>0</v>
      </c>
      <c r="B1" s="41"/>
      <c r="C1" s="41"/>
      <c r="D1" s="41"/>
      <c r="E1" s="41"/>
      <c r="F1" s="41"/>
      <c r="G1" s="3"/>
    </row>
    <row r="2" spans="1:7" s="6" customFormat="1" ht="15" customHeight="1" x14ac:dyDescent="0.3">
      <c r="A2" s="42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spans="1:7" s="6" customFormat="1" ht="15.75" customHeight="1" x14ac:dyDescent="0.3">
      <c r="A3" s="42"/>
      <c r="B3" s="7" t="s">
        <v>8</v>
      </c>
      <c r="C3" s="7" t="s">
        <v>8</v>
      </c>
      <c r="D3" s="7" t="s">
        <v>8</v>
      </c>
      <c r="E3" s="7" t="s">
        <v>8</v>
      </c>
      <c r="F3" s="7" t="s">
        <v>8</v>
      </c>
      <c r="G3" s="7" t="s">
        <v>8</v>
      </c>
    </row>
    <row r="4" spans="1:7" ht="15.75" customHeight="1" x14ac:dyDescent="0.3">
      <c r="A4" s="8" t="s">
        <v>9</v>
      </c>
      <c r="B4" s="9"/>
      <c r="C4" s="10"/>
      <c r="D4" s="11"/>
      <c r="E4" s="11"/>
      <c r="F4" s="11"/>
      <c r="G4" s="11"/>
    </row>
    <row r="5" spans="1:7" x14ac:dyDescent="0.3">
      <c r="A5" s="8" t="s">
        <v>10</v>
      </c>
      <c r="B5" s="12"/>
      <c r="C5" s="13"/>
      <c r="D5" s="14"/>
      <c r="E5" s="14"/>
      <c r="F5" s="14"/>
      <c r="G5" s="14"/>
    </row>
    <row r="6" spans="1:7" x14ac:dyDescent="0.3">
      <c r="A6" s="13" t="s">
        <v>11</v>
      </c>
      <c r="B6" s="15" t="e">
        <f>#REF!*10</f>
        <v>#REF!</v>
      </c>
      <c r="C6" s="16">
        <v>49222</v>
      </c>
      <c r="D6" s="16">
        <v>67286</v>
      </c>
      <c r="E6" s="16">
        <v>56892</v>
      </c>
      <c r="F6" s="16">
        <v>442740</v>
      </c>
      <c r="G6" s="16"/>
    </row>
    <row r="7" spans="1:7" x14ac:dyDescent="0.3">
      <c r="A7" s="13" t="s">
        <v>12</v>
      </c>
      <c r="B7" s="17">
        <v>6.6957261377430494E-2</v>
      </c>
      <c r="C7" s="18">
        <v>1.7483450932637201E-2</v>
      </c>
      <c r="D7" s="18">
        <v>0.113953260307919</v>
      </c>
      <c r="E7" s="18">
        <v>8.1957653928725893E-2</v>
      </c>
      <c r="F7" s="18">
        <v>7.2805272529955695E-2</v>
      </c>
      <c r="G7" s="18"/>
    </row>
    <row r="8" spans="1:7" s="21" customFormat="1" x14ac:dyDescent="0.3">
      <c r="A8" s="8" t="s">
        <v>13</v>
      </c>
      <c r="B8" s="19">
        <v>2337.6</v>
      </c>
      <c r="C8" s="20">
        <v>8747</v>
      </c>
      <c r="D8" s="20">
        <v>9330</v>
      </c>
      <c r="E8" s="20">
        <v>9779</v>
      </c>
      <c r="F8" s="20">
        <v>54890</v>
      </c>
      <c r="G8" s="20"/>
    </row>
    <row r="9" spans="1:7" x14ac:dyDescent="0.3">
      <c r="A9" s="13" t="s">
        <v>12</v>
      </c>
      <c r="B9" s="17">
        <v>0.27796799337795702</v>
      </c>
      <c r="C9" s="18">
        <v>0.20517447704828001</v>
      </c>
      <c r="D9" s="18">
        <v>0.33549630488669602</v>
      </c>
      <c r="E9" s="18">
        <v>-2.4487478418460298</v>
      </c>
      <c r="F9" s="18">
        <v>5.79890286820939E-2</v>
      </c>
      <c r="G9" s="18"/>
    </row>
    <row r="10" spans="1:7" s="21" customFormat="1" x14ac:dyDescent="0.3">
      <c r="A10" s="8" t="s">
        <v>14</v>
      </c>
      <c r="B10" s="22" t="e">
        <f>+B8/B$6</f>
        <v>#REF!</v>
      </c>
      <c r="C10" s="22">
        <f>+C8/C$6</f>
        <v>0.17770509121937345</v>
      </c>
      <c r="D10" s="22">
        <f>+D8/D$6</f>
        <v>0.13866183158457926</v>
      </c>
      <c r="E10" s="22">
        <f>+E8/E$6</f>
        <v>0.17188708430007735</v>
      </c>
      <c r="F10" s="22">
        <f>+F8/F$6</f>
        <v>0.12397795545918598</v>
      </c>
      <c r="G10" s="22"/>
    </row>
    <row r="11" spans="1:7" s="21" customFormat="1" x14ac:dyDescent="0.3">
      <c r="A11" s="8" t="s">
        <v>15</v>
      </c>
      <c r="B11" s="23">
        <v>623.77000000000203</v>
      </c>
      <c r="C11" s="24">
        <v>7883</v>
      </c>
      <c r="D11" s="24">
        <v>2960</v>
      </c>
      <c r="E11" s="24">
        <v>997</v>
      </c>
      <c r="F11" s="24">
        <v>34510</v>
      </c>
      <c r="G11" s="24"/>
    </row>
    <row r="12" spans="1:7" x14ac:dyDescent="0.3">
      <c r="A12" s="13" t="s">
        <v>12</v>
      </c>
      <c r="B12" s="17">
        <v>0.15020466640116401</v>
      </c>
      <c r="C12" s="18">
        <v>-2.3617924740187798E-2</v>
      </c>
      <c r="D12" s="18">
        <v>0.27983015333704903</v>
      </c>
      <c r="E12" s="18">
        <v>-1.7739968460390901E-2</v>
      </c>
      <c r="F12" s="18">
        <v>1.34923513971577E-2</v>
      </c>
      <c r="G12" s="18"/>
    </row>
    <row r="13" spans="1:7" x14ac:dyDescent="0.3">
      <c r="A13" s="8" t="s">
        <v>16</v>
      </c>
      <c r="B13" s="22" t="e">
        <f>+B11/B$6</f>
        <v>#REF!</v>
      </c>
      <c r="C13" s="25">
        <f>+C11/C$6</f>
        <v>0.1601519645686888</v>
      </c>
      <c r="D13" s="25">
        <f>+D11/D$6</f>
        <v>4.3991320631334901E-2</v>
      </c>
      <c r="E13" s="25">
        <f>+E11/E$6</f>
        <v>1.7524432257610911E-2</v>
      </c>
      <c r="F13" s="25">
        <f>+F11/F$6</f>
        <v>7.7946424538103631E-2</v>
      </c>
      <c r="G13" s="25"/>
    </row>
    <row r="14" spans="1:7" x14ac:dyDescent="0.3">
      <c r="A14" s="13" t="s">
        <v>17</v>
      </c>
      <c r="B14" s="26">
        <v>3.76</v>
      </c>
      <c r="C14" s="26">
        <v>52.21</v>
      </c>
      <c r="D14" s="26">
        <v>7.83</v>
      </c>
      <c r="E14" s="26">
        <v>3.26</v>
      </c>
      <c r="F14" s="26">
        <v>31.37</v>
      </c>
      <c r="G14" s="26"/>
    </row>
    <row r="15" spans="1:7" x14ac:dyDescent="0.3">
      <c r="A15" s="13"/>
      <c r="B15" s="12"/>
      <c r="C15" s="13"/>
      <c r="D15" s="14"/>
      <c r="E15" s="14"/>
      <c r="F15" s="13"/>
      <c r="G15" s="13"/>
    </row>
    <row r="16" spans="1:7" x14ac:dyDescent="0.3">
      <c r="A16" s="13"/>
      <c r="B16" s="12"/>
      <c r="C16" s="13"/>
      <c r="D16" s="14"/>
      <c r="E16" s="14"/>
      <c r="F16" s="13"/>
      <c r="G16" s="13"/>
    </row>
    <row r="17" spans="1:7" x14ac:dyDescent="0.3">
      <c r="A17" s="8" t="s">
        <v>18</v>
      </c>
      <c r="B17" s="27"/>
      <c r="C17" s="8"/>
      <c r="D17" s="8"/>
      <c r="E17" s="8"/>
      <c r="F17" s="8"/>
      <c r="G17" s="8"/>
    </row>
    <row r="18" spans="1:7" s="21" customFormat="1" x14ac:dyDescent="0.3">
      <c r="A18" s="8" t="s">
        <v>19</v>
      </c>
      <c r="B18" s="23">
        <v>6806.94</v>
      </c>
      <c r="C18" s="23">
        <v>47546</v>
      </c>
      <c r="D18" s="23">
        <v>31513</v>
      </c>
      <c r="E18" s="23">
        <v>60583</v>
      </c>
      <c r="F18" s="23">
        <v>256090</v>
      </c>
      <c r="G18" s="23"/>
    </row>
    <row r="19" spans="1:7" s="21" customFormat="1" x14ac:dyDescent="0.3">
      <c r="A19" s="8" t="s">
        <v>20</v>
      </c>
      <c r="B19" s="23">
        <f>SUM(B20:B21)</f>
        <v>1806.12</v>
      </c>
      <c r="C19" s="23">
        <f>SUM(C20:C21)</f>
        <v>0</v>
      </c>
      <c r="D19" s="23">
        <f>SUM(D20:D21)</f>
        <v>12219</v>
      </c>
      <c r="E19" s="23">
        <f>SUM(E20:E21)</f>
        <v>9292</v>
      </c>
      <c r="F19" s="23">
        <f>SUM(F20:F21)</f>
        <v>37380</v>
      </c>
      <c r="G19" s="23"/>
    </row>
    <row r="20" spans="1:7" x14ac:dyDescent="0.3">
      <c r="A20" s="28" t="s">
        <v>21</v>
      </c>
      <c r="B20" s="26">
        <v>0</v>
      </c>
      <c r="C20" s="26">
        <v>0</v>
      </c>
      <c r="D20" s="26">
        <v>3893</v>
      </c>
      <c r="E20" s="26">
        <v>667</v>
      </c>
      <c r="F20" s="26">
        <v>8590</v>
      </c>
      <c r="G20" s="26"/>
    </row>
    <row r="21" spans="1:7" x14ac:dyDescent="0.3">
      <c r="A21" s="28" t="s">
        <v>22</v>
      </c>
      <c r="B21" s="26">
        <v>1806.12</v>
      </c>
      <c r="C21" s="26">
        <v>0</v>
      </c>
      <c r="D21" s="26">
        <v>8326</v>
      </c>
      <c r="E21" s="26">
        <v>8625</v>
      </c>
      <c r="F21" s="26">
        <v>28790</v>
      </c>
      <c r="G21" s="26"/>
    </row>
    <row r="22" spans="1:7" x14ac:dyDescent="0.3">
      <c r="A22" s="13"/>
      <c r="B22" s="12"/>
      <c r="C22" s="13"/>
      <c r="D22" s="14"/>
      <c r="E22" s="14"/>
      <c r="F22" s="13"/>
      <c r="G22" s="13"/>
    </row>
    <row r="23" spans="1:7" x14ac:dyDescent="0.3">
      <c r="A23" s="8" t="s">
        <v>23</v>
      </c>
      <c r="B23" s="27"/>
      <c r="C23" s="8"/>
      <c r="D23" s="8"/>
      <c r="E23" s="8"/>
      <c r="F23" s="8"/>
      <c r="G23" s="8"/>
    </row>
    <row r="24" spans="1:7" x14ac:dyDescent="0.3">
      <c r="A24" s="29" t="s">
        <v>24</v>
      </c>
      <c r="B24" s="30"/>
      <c r="C24" s="13"/>
      <c r="D24" s="13"/>
      <c r="E24" s="13"/>
      <c r="F24" s="13"/>
      <c r="G24" s="13"/>
    </row>
    <row r="25" spans="1:7" x14ac:dyDescent="0.3">
      <c r="A25" s="29" t="s">
        <v>25</v>
      </c>
      <c r="B25" s="30"/>
      <c r="C25" s="13"/>
      <c r="D25" s="13"/>
      <c r="E25" s="13"/>
      <c r="F25" s="13"/>
      <c r="G25" s="13"/>
    </row>
    <row r="26" spans="1:7" s="4" customFormat="1" x14ac:dyDescent="0.3">
      <c r="A26" s="12"/>
      <c r="B26" s="12"/>
      <c r="C26" s="12"/>
      <c r="D26" s="31"/>
      <c r="E26" s="31"/>
      <c r="F26" s="31"/>
      <c r="G26" s="31"/>
    </row>
    <row r="27" spans="1:7" s="4" customFormat="1" x14ac:dyDescent="0.3">
      <c r="A27" s="12" t="s">
        <v>26</v>
      </c>
      <c r="B27" s="32">
        <v>16042570</v>
      </c>
      <c r="C27" s="32">
        <v>15050871</v>
      </c>
      <c r="D27" s="32">
        <v>37759530</v>
      </c>
      <c r="E27" s="32">
        <v>30603181</v>
      </c>
      <c r="F27" s="32">
        <v>109971221</v>
      </c>
      <c r="G27" s="32"/>
    </row>
    <row r="28" spans="1:7" s="21" customFormat="1" x14ac:dyDescent="0.3">
      <c r="A28" s="8" t="s">
        <v>27</v>
      </c>
      <c r="B28" s="33">
        <v>705.87307999999996</v>
      </c>
      <c r="C28" s="34">
        <v>5698.2597605999999</v>
      </c>
      <c r="D28" s="34">
        <v>1049.7149340000001</v>
      </c>
      <c r="E28" s="34">
        <v>2209.5496681999998</v>
      </c>
      <c r="F28" s="34">
        <v>25254.89090265</v>
      </c>
      <c r="G28" s="34"/>
    </row>
    <row r="29" spans="1:7" s="21" customFormat="1" x14ac:dyDescent="0.3">
      <c r="A29" s="8" t="s">
        <v>28</v>
      </c>
      <c r="B29" s="33">
        <v>297.57308</v>
      </c>
      <c r="C29" s="34">
        <v>3873.2597605999999</v>
      </c>
      <c r="D29" s="34">
        <v>6252.7149339999996</v>
      </c>
      <c r="E29" s="34">
        <v>9985.5496681999994</v>
      </c>
      <c r="F29" s="34">
        <v>-32545.10909735</v>
      </c>
      <c r="G29" s="34"/>
    </row>
    <row r="30" spans="1:7" x14ac:dyDescent="0.3">
      <c r="A30" s="13"/>
      <c r="B30" s="12"/>
      <c r="C30" s="13"/>
      <c r="D30" s="14"/>
      <c r="E30" s="13"/>
      <c r="F30" s="13"/>
      <c r="G30" s="13"/>
    </row>
    <row r="31" spans="1:7" x14ac:dyDescent="0.3">
      <c r="A31" s="13" t="s">
        <v>29</v>
      </c>
      <c r="B31" s="35">
        <v>11.702127659574501</v>
      </c>
      <c r="C31" s="35">
        <v>7.2514843899636103</v>
      </c>
      <c r="D31" s="35">
        <v>3.55044699872286</v>
      </c>
      <c r="E31" s="35">
        <v>22.147239263803701</v>
      </c>
      <c r="F31" s="35">
        <v>7.3206885559451704</v>
      </c>
      <c r="G31" s="35"/>
    </row>
    <row r="32" spans="1:7" x14ac:dyDescent="0.3">
      <c r="A32" s="13" t="s">
        <v>30</v>
      </c>
      <c r="B32" s="36">
        <v>3.4090909090909102E-2</v>
      </c>
      <c r="C32" s="37">
        <v>0.105652403592182</v>
      </c>
      <c r="D32" s="37">
        <v>0</v>
      </c>
      <c r="E32" s="37">
        <v>0</v>
      </c>
      <c r="F32" s="37">
        <v>6.5316786414108402E-2</v>
      </c>
      <c r="G32" s="37"/>
    </row>
    <row r="33" spans="1:7" x14ac:dyDescent="0.3">
      <c r="A33" s="13" t="s">
        <v>31</v>
      </c>
      <c r="B33" s="35">
        <v>0.103699030695144</v>
      </c>
      <c r="C33" s="35">
        <v>0.119847300731923</v>
      </c>
      <c r="D33" s="35">
        <v>3.3310536413543597E-2</v>
      </c>
      <c r="E33" s="35">
        <v>3.6471446910849602E-2</v>
      </c>
      <c r="F33" s="35">
        <v>9.8617247462415597E-2</v>
      </c>
      <c r="G33" s="35"/>
    </row>
    <row r="34" spans="1:7" x14ac:dyDescent="0.3">
      <c r="A34" s="13" t="s">
        <v>32</v>
      </c>
      <c r="B34" s="35">
        <v>0.127298545516769</v>
      </c>
      <c r="C34" s="35">
        <v>0.44281007895278401</v>
      </c>
      <c r="D34" s="35">
        <v>0.67017309046087903</v>
      </c>
      <c r="E34" s="35">
        <v>1.0211217576643801</v>
      </c>
      <c r="F34" s="35">
        <v>-0.59291508648843105</v>
      </c>
      <c r="G34" s="35"/>
    </row>
    <row r="35" spans="1:7" x14ac:dyDescent="0.3">
      <c r="A35" s="13"/>
      <c r="B35" s="12"/>
      <c r="C35" s="13"/>
      <c r="D35" s="14"/>
      <c r="E35" s="14"/>
      <c r="F35" s="13"/>
      <c r="G35" s="13"/>
    </row>
    <row r="36" spans="1:7" x14ac:dyDescent="0.3">
      <c r="A36" s="8" t="s">
        <v>33</v>
      </c>
      <c r="B36" s="27"/>
      <c r="C36" s="8"/>
      <c r="D36" s="8"/>
      <c r="E36" s="8"/>
      <c r="F36" s="8"/>
      <c r="G36" s="8"/>
    </row>
    <row r="37" spans="1:7" x14ac:dyDescent="0.3">
      <c r="A37" s="8" t="s">
        <v>34</v>
      </c>
      <c r="B37" s="26" t="e">
        <f>#REF!</f>
        <v>#REF!</v>
      </c>
      <c r="C37" s="26">
        <v>378.6</v>
      </c>
      <c r="D37" s="26">
        <v>27.8</v>
      </c>
      <c r="E37" s="26">
        <v>72.2</v>
      </c>
      <c r="F37" s="26">
        <v>229.65</v>
      </c>
      <c r="G37" s="26"/>
    </row>
    <row r="38" spans="1:7" x14ac:dyDescent="0.3">
      <c r="A38" s="13" t="s">
        <v>35</v>
      </c>
      <c r="B38" s="26">
        <f>B18</f>
        <v>6806.94</v>
      </c>
      <c r="C38" s="26">
        <f>C18</f>
        <v>47546</v>
      </c>
      <c r="D38" s="26">
        <f>D18</f>
        <v>31513</v>
      </c>
      <c r="E38" s="26">
        <f>E18</f>
        <v>60583</v>
      </c>
      <c r="F38" s="26">
        <f>F18</f>
        <v>256090</v>
      </c>
      <c r="G38" s="26"/>
    </row>
    <row r="39" spans="1:7" x14ac:dyDescent="0.3">
      <c r="A39" s="13" t="s">
        <v>36</v>
      </c>
      <c r="B39" s="26">
        <v>424.30483395116897</v>
      </c>
      <c r="C39" s="26">
        <v>3159.0198334700999</v>
      </c>
      <c r="D39" s="26">
        <v>834.57076928658796</v>
      </c>
      <c r="E39" s="26">
        <v>1979.6308102742701</v>
      </c>
      <c r="F39" s="26">
        <v>2328.7001605629198</v>
      </c>
      <c r="G39" s="26"/>
    </row>
    <row r="40" spans="1:7" x14ac:dyDescent="0.3">
      <c r="A40" s="13" t="s">
        <v>37</v>
      </c>
      <c r="B40" s="38">
        <v>9.1637358343103104E-2</v>
      </c>
      <c r="C40" s="38">
        <v>0.165797333108989</v>
      </c>
      <c r="D40" s="38">
        <v>9.3929489417065998E-2</v>
      </c>
      <c r="E40" s="38">
        <v>1.6456761797864101E-2</v>
      </c>
      <c r="F40" s="38">
        <v>0.134757311882541</v>
      </c>
      <c r="G40" s="38"/>
    </row>
    <row r="41" spans="1:7" x14ac:dyDescent="0.3">
      <c r="A41" s="13" t="s">
        <v>38</v>
      </c>
      <c r="B41" s="38">
        <v>0.15966919879744099</v>
      </c>
      <c r="C41" s="38">
        <v>0.23463756949794901</v>
      </c>
      <c r="D41" s="38">
        <v>0.162663104410677</v>
      </c>
      <c r="E41" s="38">
        <v>7.0130917016226604E-2</v>
      </c>
      <c r="F41" s="38">
        <v>0.12677259525029899</v>
      </c>
      <c r="G41" s="38"/>
    </row>
    <row r="42" spans="1:7" x14ac:dyDescent="0.3">
      <c r="A42" s="13" t="s">
        <v>39</v>
      </c>
      <c r="B42" s="35">
        <v>0.19664505085895501</v>
      </c>
      <c r="C42" s="35">
        <v>0.68930559505912004</v>
      </c>
      <c r="D42" s="35">
        <v>0.63170644710638202</v>
      </c>
      <c r="E42" s="35">
        <v>0.89705055192294203</v>
      </c>
      <c r="F42" s="35">
        <v>0.46451642047251201</v>
      </c>
      <c r="G42" s="35"/>
    </row>
    <row r="43" spans="1:7" x14ac:dyDescent="0.3">
      <c r="A43" s="13" t="s">
        <v>40</v>
      </c>
      <c r="B43" s="39">
        <v>66.342013720741093</v>
      </c>
      <c r="C43" s="39">
        <v>65.062573645930698</v>
      </c>
      <c r="D43" s="39">
        <v>86.592976250631594</v>
      </c>
      <c r="E43" s="39">
        <v>107.90185790620799</v>
      </c>
      <c r="F43" s="39">
        <v>56.711275240547501</v>
      </c>
      <c r="G43" s="39"/>
    </row>
    <row r="44" spans="1:7" x14ac:dyDescent="0.3">
      <c r="A44" s="13" t="s">
        <v>41</v>
      </c>
      <c r="B44" s="39">
        <v>0</v>
      </c>
      <c r="C44" s="39">
        <v>0</v>
      </c>
      <c r="D44" s="39">
        <v>10.79</v>
      </c>
      <c r="E44" s="39">
        <v>0</v>
      </c>
      <c r="F44" s="39">
        <v>16.899999999999999</v>
      </c>
      <c r="G44" s="39"/>
    </row>
    <row r="45" spans="1:7" x14ac:dyDescent="0.3">
      <c r="A45" s="13" t="s">
        <v>42</v>
      </c>
      <c r="B45" s="40">
        <v>6242.8348665021304</v>
      </c>
      <c r="C45" s="39">
        <v>17.260000000000002</v>
      </c>
      <c r="D45" s="39">
        <v>29.69</v>
      </c>
      <c r="E45" s="39">
        <v>50.87</v>
      </c>
      <c r="F45" s="39">
        <v>51.52</v>
      </c>
      <c r="G45" s="39"/>
    </row>
    <row r="46" spans="1:7" x14ac:dyDescent="0.3">
      <c r="A46" s="13" t="s">
        <v>43</v>
      </c>
      <c r="B46" s="40">
        <v>-6176.49285278139</v>
      </c>
      <c r="C46" s="39">
        <v>47.8025736459307</v>
      </c>
      <c r="D46" s="39">
        <v>67.692976250631602</v>
      </c>
      <c r="E46" s="39">
        <v>57.031857906208302</v>
      </c>
      <c r="F46" s="39">
        <v>22.0912752405475</v>
      </c>
      <c r="G46" s="39"/>
    </row>
    <row r="47" spans="1:7" x14ac:dyDescent="0.3">
      <c r="A47" s="13" t="s">
        <v>44</v>
      </c>
      <c r="B47" s="39">
        <v>38.568782865166803</v>
      </c>
      <c r="C47" s="39">
        <v>104.512413148592</v>
      </c>
      <c r="D47" s="39">
        <v>-3.1679695627619502</v>
      </c>
      <c r="E47" s="39">
        <v>102.355515713984</v>
      </c>
      <c r="F47" s="39">
        <v>168.22119076659001</v>
      </c>
      <c r="G47" s="39"/>
    </row>
    <row r="48" spans="1:7" x14ac:dyDescent="0.3">
      <c r="A48" s="13" t="s">
        <v>45</v>
      </c>
      <c r="B48" s="35">
        <v>0.26533508448730297</v>
      </c>
      <c r="C48" s="35">
        <v>0</v>
      </c>
      <c r="D48" s="35">
        <v>0.38774474026592198</v>
      </c>
      <c r="E48" s="35">
        <v>0.15337635970486799</v>
      </c>
      <c r="F48" s="35">
        <v>0.14596430942246899</v>
      </c>
      <c r="G48" s="35"/>
    </row>
    <row r="49" spans="1:7" x14ac:dyDescent="0.3">
      <c r="A49" s="13" t="s">
        <v>46</v>
      </c>
      <c r="B49" s="35">
        <v>-5.9982899805198803E-2</v>
      </c>
      <c r="C49" s="35">
        <v>-3.8383880873259599E-2</v>
      </c>
      <c r="D49" s="35">
        <v>0.16510646399898499</v>
      </c>
      <c r="E49" s="35">
        <v>0.128352838254956</v>
      </c>
      <c r="F49" s="35">
        <v>-0.225701901675192</v>
      </c>
      <c r="G49" s="35"/>
    </row>
    <row r="50" spans="1:7" x14ac:dyDescent="0.3">
      <c r="A50" s="13" t="s">
        <v>47</v>
      </c>
      <c r="B50" s="26">
        <v>3.78370186478841</v>
      </c>
      <c r="C50" s="26">
        <v>158.70422535211301</v>
      </c>
      <c r="D50" s="26">
        <v>2.2760347129506</v>
      </c>
      <c r="E50" s="26">
        <v>3.4877505567928702</v>
      </c>
      <c r="F50" s="26">
        <v>10.6872427983539</v>
      </c>
      <c r="G50" s="26"/>
    </row>
    <row r="51" spans="1:7" x14ac:dyDescent="0.3">
      <c r="A51" s="13" t="s">
        <v>48</v>
      </c>
      <c r="B51" s="38">
        <v>0.19180342391424701</v>
      </c>
      <c r="C51" s="38">
        <v>0</v>
      </c>
      <c r="D51" s="38">
        <v>0.24519191423193401</v>
      </c>
      <c r="E51" s="38">
        <v>0.14496340938441701</v>
      </c>
      <c r="F51" s="38">
        <v>0.130016051364366</v>
      </c>
      <c r="G51" s="38"/>
    </row>
  </sheetData>
  <mergeCells count="2">
    <mergeCell ref="A1:F1"/>
    <mergeCell ref="A2:A3"/>
  </mergeCells>
  <printOptions horizontalCentered="1"/>
  <pageMargins left="0.39374999999999999" right="0.39374999999999999" top="0.39374999999999999" bottom="0.39374999999999999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79"/>
  <sheetViews>
    <sheetView tabSelected="1" zoomScale="90" zoomScaleNormal="90" workbookViewId="0">
      <selection activeCell="M62" sqref="M62"/>
    </sheetView>
  </sheetViews>
  <sheetFormatPr defaultColWidth="8.6640625" defaultRowHeight="15.6" x14ac:dyDescent="0.3"/>
  <cols>
    <col min="1" max="1" width="73.5546875" style="45" bestFit="1" customWidth="1"/>
    <col min="2" max="2" width="16.21875" style="45" bestFit="1" customWidth="1"/>
    <col min="3" max="3" width="13" style="45" customWidth="1"/>
    <col min="4" max="4" width="17.21875" style="45" bestFit="1" customWidth="1"/>
    <col min="5" max="5" width="13.44140625" style="45" customWidth="1"/>
    <col min="6" max="7" width="13" style="45" customWidth="1"/>
    <col min="8" max="8" width="50.33203125" style="45" customWidth="1"/>
    <col min="9" max="11" width="12" style="45" customWidth="1"/>
    <col min="12" max="12" width="13" style="45" customWidth="1"/>
    <col min="13" max="13" width="9.33203125" style="45" customWidth="1"/>
    <col min="14" max="16384" width="8.6640625" style="45"/>
  </cols>
  <sheetData>
    <row r="1" spans="1:19" ht="19.5" customHeight="1" thickBot="1" x14ac:dyDescent="0.35">
      <c r="A1" s="96" t="s">
        <v>162</v>
      </c>
      <c r="B1" s="96"/>
      <c r="C1" s="96"/>
      <c r="D1" s="96"/>
      <c r="E1" s="96"/>
      <c r="F1" s="96"/>
      <c r="G1" s="96"/>
      <c r="H1" s="101"/>
      <c r="I1" s="101"/>
      <c r="J1" s="101"/>
      <c r="K1" s="101"/>
      <c r="L1" s="101"/>
    </row>
    <row r="2" spans="1:19" ht="19.5" customHeight="1" thickBot="1" x14ac:dyDescent="0.35">
      <c r="A2" s="46" t="s">
        <v>10</v>
      </c>
      <c r="B2" s="47"/>
      <c r="C2" s="47"/>
      <c r="D2" s="47"/>
      <c r="E2" s="47"/>
      <c r="F2" s="48"/>
      <c r="G2" s="49"/>
      <c r="H2" s="166" t="s">
        <v>49</v>
      </c>
      <c r="I2" s="167"/>
      <c r="J2" s="167"/>
      <c r="K2" s="167"/>
      <c r="L2" s="168"/>
    </row>
    <row r="3" spans="1:19" ht="15.75" customHeight="1" x14ac:dyDescent="0.3">
      <c r="A3" s="50" t="s">
        <v>50</v>
      </c>
      <c r="B3" s="51" t="s">
        <v>51</v>
      </c>
      <c r="C3" s="51" t="s">
        <v>52</v>
      </c>
      <c r="D3" s="51" t="s">
        <v>53</v>
      </c>
      <c r="E3" s="51" t="s">
        <v>54</v>
      </c>
      <c r="F3" s="52" t="s">
        <v>55</v>
      </c>
      <c r="G3" s="53"/>
      <c r="H3" s="169" t="s">
        <v>50</v>
      </c>
      <c r="I3" s="170" t="s">
        <v>51</v>
      </c>
      <c r="J3" s="170" t="s">
        <v>52</v>
      </c>
      <c r="K3" s="170" t="s">
        <v>53</v>
      </c>
      <c r="L3" s="171" t="s">
        <v>54</v>
      </c>
      <c r="M3"/>
    </row>
    <row r="4" spans="1:19" ht="15" customHeight="1" x14ac:dyDescent="0.3">
      <c r="A4" s="102" t="s">
        <v>109</v>
      </c>
      <c r="B4" s="97">
        <v>2225.5909999999999</v>
      </c>
      <c r="C4" s="97">
        <v>2329.4070000000002</v>
      </c>
      <c r="D4" s="97">
        <v>2760.8150000000001</v>
      </c>
      <c r="E4" s="97">
        <v>3652.8739999999998</v>
      </c>
      <c r="F4" s="98">
        <v>504.58900000000006</v>
      </c>
      <c r="G4" s="53"/>
      <c r="H4" s="147" t="s">
        <v>115</v>
      </c>
      <c r="I4" s="136"/>
      <c r="J4" s="137"/>
      <c r="K4" s="137"/>
      <c r="L4" s="148"/>
      <c r="M4" s="57"/>
      <c r="N4" s="57"/>
      <c r="O4" s="57"/>
      <c r="P4" s="57"/>
      <c r="Q4" s="57"/>
      <c r="R4"/>
      <c r="S4"/>
    </row>
    <row r="5" spans="1:19" x14ac:dyDescent="0.3">
      <c r="A5" s="103" t="s">
        <v>56</v>
      </c>
      <c r="B5" s="58"/>
      <c r="C5" s="59">
        <f>C4/B4-1</f>
        <v>4.6646486259155573E-2</v>
      </c>
      <c r="D5" s="59">
        <f>D4/C4-1</f>
        <v>0.18520078286018715</v>
      </c>
      <c r="E5" s="59">
        <f>E4/D4-1</f>
        <v>0.32311437021314338</v>
      </c>
      <c r="F5" s="60"/>
      <c r="G5" s="53"/>
      <c r="H5" s="147" t="s">
        <v>116</v>
      </c>
      <c r="I5" s="136"/>
      <c r="J5" s="138"/>
      <c r="K5" s="138"/>
      <c r="L5" s="149"/>
      <c r="M5" s="53"/>
      <c r="N5" s="53"/>
      <c r="O5" s="53"/>
      <c r="P5" s="53"/>
      <c r="Q5" s="53"/>
      <c r="R5"/>
      <c r="S5"/>
    </row>
    <row r="6" spans="1:19" x14ac:dyDescent="0.3">
      <c r="A6" s="103" t="s">
        <v>57</v>
      </c>
      <c r="B6" s="58"/>
      <c r="C6" s="59"/>
      <c r="D6" s="59"/>
      <c r="E6" s="59">
        <f>_xlfn.RRI(3,B4,E4)</f>
        <v>0.17958645937760043</v>
      </c>
      <c r="F6" s="60"/>
      <c r="G6" s="53"/>
      <c r="H6" s="150" t="s">
        <v>117</v>
      </c>
      <c r="I6" s="139">
        <v>46.94</v>
      </c>
      <c r="J6" s="139">
        <v>82.605999999999995</v>
      </c>
      <c r="K6" s="139">
        <v>138.07900000000001</v>
      </c>
      <c r="L6" s="151">
        <v>479.32600000000002</v>
      </c>
      <c r="M6" s="53"/>
      <c r="N6" s="53"/>
      <c r="O6" s="53"/>
      <c r="P6" s="53"/>
      <c r="Q6" s="53"/>
      <c r="R6"/>
      <c r="S6"/>
    </row>
    <row r="7" spans="1:19" x14ac:dyDescent="0.3">
      <c r="A7" s="104" t="s">
        <v>58</v>
      </c>
      <c r="B7" s="43">
        <f>B8+B9+B10+B11+B12</f>
        <v>2099.7599999999998</v>
      </c>
      <c r="C7" s="43">
        <f>C8+C9+C10+C11+C12</f>
        <v>2134.8159999999998</v>
      </c>
      <c r="D7" s="43">
        <f>D8+D9+D10+D11+D12</f>
        <v>2301.7719999999999</v>
      </c>
      <c r="E7" s="43">
        <f>E8+E9+E10+E11+E12</f>
        <v>3023.8049999999998</v>
      </c>
      <c r="F7" s="44">
        <f>F8+F9+F10+F11+F12</f>
        <v>400.721</v>
      </c>
      <c r="G7" s="53"/>
      <c r="H7" s="150" t="s">
        <v>118</v>
      </c>
      <c r="I7" s="139">
        <v>30.493000000000002</v>
      </c>
      <c r="J7" s="139">
        <v>60.893999999999998</v>
      </c>
      <c r="K7" s="139">
        <v>168.28699999999998</v>
      </c>
      <c r="L7" s="151">
        <v>252.63200000000001</v>
      </c>
      <c r="M7" s="57"/>
      <c r="N7" s="57"/>
      <c r="O7" s="57"/>
      <c r="P7" s="57"/>
      <c r="Q7" s="57"/>
      <c r="R7"/>
      <c r="S7"/>
    </row>
    <row r="8" spans="1:19" x14ac:dyDescent="0.3">
      <c r="A8" s="104" t="s">
        <v>112</v>
      </c>
      <c r="B8" s="61"/>
      <c r="C8" s="62"/>
      <c r="D8" s="62"/>
      <c r="E8" s="62"/>
      <c r="F8" s="63"/>
      <c r="G8" s="53"/>
      <c r="H8" s="150" t="s">
        <v>119</v>
      </c>
      <c r="I8" s="139">
        <v>1.6190000000000002</v>
      </c>
      <c r="J8" s="139">
        <v>1.6190000000000002</v>
      </c>
      <c r="K8" s="139">
        <v>1.585</v>
      </c>
      <c r="L8" s="151">
        <v>1.5680000000000001</v>
      </c>
      <c r="M8" s="57"/>
      <c r="N8" s="57"/>
      <c r="O8" s="57"/>
      <c r="Q8" s="57"/>
      <c r="R8"/>
      <c r="S8"/>
    </row>
    <row r="9" spans="1:19" ht="15" customHeight="1" x14ac:dyDescent="0.3">
      <c r="A9" s="104" t="s">
        <v>111</v>
      </c>
      <c r="B9" s="55">
        <v>1893.8139999999999</v>
      </c>
      <c r="C9" s="55">
        <v>1684.297</v>
      </c>
      <c r="D9" s="55">
        <v>1788.8040000000001</v>
      </c>
      <c r="E9" s="55">
        <v>2231.877</v>
      </c>
      <c r="F9" s="56">
        <v>248.804</v>
      </c>
      <c r="G9" s="53"/>
      <c r="H9" s="150" t="s">
        <v>120</v>
      </c>
      <c r="I9" s="139">
        <v>0</v>
      </c>
      <c r="J9" s="139">
        <v>0</v>
      </c>
      <c r="K9" s="139">
        <v>10.391</v>
      </c>
      <c r="L9" s="151">
        <v>14.068000000000001</v>
      </c>
      <c r="M9" s="57"/>
      <c r="N9" s="57"/>
      <c r="O9" s="57"/>
      <c r="P9" s="57"/>
      <c r="Q9" s="57"/>
      <c r="R9"/>
      <c r="S9"/>
    </row>
    <row r="10" spans="1:19" ht="15" customHeight="1" x14ac:dyDescent="0.3">
      <c r="A10" s="104" t="s">
        <v>110</v>
      </c>
      <c r="B10" s="55">
        <v>-216.65900000000002</v>
      </c>
      <c r="C10" s="55">
        <v>-191.602</v>
      </c>
      <c r="D10" s="55">
        <v>-254.28100000000001</v>
      </c>
      <c r="E10" s="55">
        <v>11.55</v>
      </c>
      <c r="F10" s="56">
        <v>11.615</v>
      </c>
      <c r="G10" s="53"/>
      <c r="H10" s="150" t="s">
        <v>121</v>
      </c>
      <c r="I10" s="139">
        <v>16.693000000000001</v>
      </c>
      <c r="J10" s="139">
        <v>36.148000000000003</v>
      </c>
      <c r="K10" s="139">
        <v>91.771000000000001</v>
      </c>
      <c r="L10" s="151">
        <v>107.56199999999998</v>
      </c>
      <c r="M10" s="57"/>
      <c r="N10" s="57"/>
      <c r="O10" s="57"/>
      <c r="P10" s="57"/>
      <c r="Q10" s="57"/>
      <c r="R10"/>
      <c r="S10"/>
    </row>
    <row r="11" spans="1:19" x14ac:dyDescent="0.3">
      <c r="A11" s="105" t="s">
        <v>59</v>
      </c>
      <c r="B11" s="55">
        <v>186.989</v>
      </c>
      <c r="C11" s="55">
        <v>212.904</v>
      </c>
      <c r="D11" s="55">
        <v>240.03200000000001</v>
      </c>
      <c r="E11" s="55">
        <v>301.20500000000004</v>
      </c>
      <c r="F11" s="56">
        <v>72.3</v>
      </c>
      <c r="G11" s="53"/>
      <c r="H11" s="150" t="s">
        <v>122</v>
      </c>
      <c r="I11" s="139">
        <v>0</v>
      </c>
      <c r="J11" s="139">
        <v>0</v>
      </c>
      <c r="K11" s="139">
        <v>0</v>
      </c>
      <c r="L11" s="151">
        <v>0</v>
      </c>
      <c r="M11" s="53"/>
      <c r="N11" s="53"/>
      <c r="O11" s="53"/>
      <c r="P11" s="53"/>
      <c r="Q11" s="53"/>
      <c r="R11"/>
      <c r="S11"/>
    </row>
    <row r="12" spans="1:19" ht="15" customHeight="1" x14ac:dyDescent="0.3">
      <c r="A12" s="105" t="s">
        <v>60</v>
      </c>
      <c r="B12" s="55">
        <v>235.61599999999999</v>
      </c>
      <c r="C12" s="55">
        <v>429.21699999999998</v>
      </c>
      <c r="D12" s="55">
        <v>527.21699999999998</v>
      </c>
      <c r="E12" s="55">
        <v>479.17299999999994</v>
      </c>
      <c r="F12" s="56">
        <v>68.001999999999995</v>
      </c>
      <c r="G12" s="53"/>
      <c r="H12" s="150" t="s">
        <v>123</v>
      </c>
      <c r="I12" s="139">
        <v>7.3940000000000001</v>
      </c>
      <c r="J12" s="139">
        <v>1.42</v>
      </c>
      <c r="K12" s="139">
        <v>14.366</v>
      </c>
      <c r="L12" s="151">
        <v>15.608000000000001</v>
      </c>
      <c r="M12" s="53"/>
      <c r="N12" s="53"/>
      <c r="O12" s="53"/>
      <c r="P12" s="53"/>
      <c r="Q12" s="53"/>
      <c r="R12"/>
      <c r="S12"/>
    </row>
    <row r="13" spans="1:19" x14ac:dyDescent="0.3">
      <c r="A13" s="106" t="s">
        <v>13</v>
      </c>
      <c r="B13" s="99">
        <f>B4-B7</f>
        <v>125.83100000000013</v>
      </c>
      <c r="C13" s="99">
        <f>C4-C7</f>
        <v>194.59100000000035</v>
      </c>
      <c r="D13" s="99">
        <f>D4-D7</f>
        <v>459.04300000000012</v>
      </c>
      <c r="E13" s="99">
        <f>E4-E7</f>
        <v>629.06899999999996</v>
      </c>
      <c r="F13" s="100">
        <f>F4-F7</f>
        <v>103.86800000000005</v>
      </c>
      <c r="G13" s="53"/>
      <c r="H13" s="150" t="s">
        <v>124</v>
      </c>
      <c r="I13" s="139">
        <v>0</v>
      </c>
      <c r="J13" s="139">
        <v>0</v>
      </c>
      <c r="K13" s="139">
        <v>0</v>
      </c>
      <c r="L13" s="151">
        <v>0</v>
      </c>
      <c r="M13" s="53"/>
      <c r="N13" s="53"/>
      <c r="O13" s="53"/>
      <c r="P13" s="53"/>
      <c r="Q13" s="53"/>
      <c r="R13"/>
      <c r="S13"/>
    </row>
    <row r="14" spans="1:19" x14ac:dyDescent="0.3">
      <c r="A14" s="103" t="s">
        <v>61</v>
      </c>
      <c r="B14" s="64">
        <f>B13/B4</f>
        <v>5.6538240853777774E-2</v>
      </c>
      <c r="C14" s="64">
        <f>C13/C4</f>
        <v>8.3536711274586339E-2</v>
      </c>
      <c r="D14" s="64">
        <f>D13/D4</f>
        <v>0.1662708294471017</v>
      </c>
      <c r="E14" s="64">
        <f>E13/E4</f>
        <v>0.17221207191926138</v>
      </c>
      <c r="F14" s="65">
        <f>F13/F4</f>
        <v>0.20584673863282799</v>
      </c>
      <c r="G14" s="53"/>
      <c r="H14" s="150" t="s">
        <v>125</v>
      </c>
      <c r="I14" s="139">
        <v>77.900999999999996</v>
      </c>
      <c r="J14" s="139">
        <v>110.619</v>
      </c>
      <c r="K14" s="139">
        <v>213.00500000000002</v>
      </c>
      <c r="L14" s="151">
        <v>368.52800000000002</v>
      </c>
      <c r="M14" s="53"/>
      <c r="N14" s="53"/>
      <c r="O14" s="53"/>
      <c r="P14" s="53"/>
      <c r="Q14" s="53"/>
      <c r="R14"/>
      <c r="S14"/>
    </row>
    <row r="15" spans="1:19" x14ac:dyDescent="0.3">
      <c r="A15" s="103" t="s">
        <v>56</v>
      </c>
      <c r="B15" s="59"/>
      <c r="C15" s="59">
        <f>C13/B13-1</f>
        <v>0.5464472188888283</v>
      </c>
      <c r="D15" s="59">
        <f>D13/C13-1</f>
        <v>1.3590145484631835</v>
      </c>
      <c r="E15" s="59">
        <f>E13/D13-1</f>
        <v>0.37039231618824342</v>
      </c>
      <c r="F15" s="66"/>
      <c r="G15" s="53"/>
      <c r="H15" s="150" t="s">
        <v>126</v>
      </c>
      <c r="I15" s="139">
        <v>6.7000000000000004E-2</v>
      </c>
      <c r="J15" s="139">
        <v>0</v>
      </c>
      <c r="K15" s="139">
        <v>3.02</v>
      </c>
      <c r="L15" s="151">
        <v>27.491000000000003</v>
      </c>
      <c r="M15" s="67"/>
      <c r="N15" s="67"/>
      <c r="O15" s="67"/>
      <c r="P15" s="67"/>
      <c r="Q15" s="67"/>
      <c r="R15"/>
      <c r="S15"/>
    </row>
    <row r="16" spans="1:19" x14ac:dyDescent="0.3">
      <c r="A16" s="103" t="s">
        <v>57</v>
      </c>
      <c r="B16" s="59"/>
      <c r="C16" s="59"/>
      <c r="D16" s="59"/>
      <c r="E16" s="59">
        <f>_xlfn.RRI(3,B13,E13)</f>
        <v>0.70989803019483566</v>
      </c>
      <c r="F16" s="60"/>
      <c r="G16" s="53"/>
      <c r="H16" s="150" t="s">
        <v>127</v>
      </c>
      <c r="I16" s="139">
        <v>0.51600000000000001</v>
      </c>
      <c r="J16" s="139">
        <v>0.51600000000000001</v>
      </c>
      <c r="K16" s="139">
        <v>1.1419999999999999</v>
      </c>
      <c r="L16" s="151">
        <v>16.440000000000001</v>
      </c>
      <c r="M16" s="53"/>
      <c r="N16" s="53"/>
      <c r="O16" s="53"/>
      <c r="P16" s="53"/>
      <c r="Q16" s="53"/>
      <c r="R16"/>
      <c r="S16"/>
    </row>
    <row r="17" spans="1:19" x14ac:dyDescent="0.3">
      <c r="A17" s="94" t="s">
        <v>62</v>
      </c>
      <c r="B17" s="55">
        <v>2.1739999999999999</v>
      </c>
      <c r="C17" s="55">
        <v>3.19</v>
      </c>
      <c r="D17" s="55">
        <v>4.4859999999999998</v>
      </c>
      <c r="E17" s="55">
        <v>7.2450000000000001</v>
      </c>
      <c r="F17" s="56">
        <v>4.5670000000000002</v>
      </c>
      <c r="G17" s="53"/>
      <c r="H17" s="147" t="s">
        <v>128</v>
      </c>
      <c r="I17" s="140">
        <f>SUM(I6:I16)</f>
        <v>181.62299999999999</v>
      </c>
      <c r="J17" s="140">
        <f>SUM(J6:J16)</f>
        <v>293.822</v>
      </c>
      <c r="K17" s="140">
        <f t="shared" ref="K17:L17" si="0">SUM(K6:K16)</f>
        <v>641.64600000000007</v>
      </c>
      <c r="L17" s="152">
        <f t="shared" si="0"/>
        <v>1283.223</v>
      </c>
      <c r="M17" s="53"/>
      <c r="N17" s="53"/>
      <c r="O17" s="53"/>
      <c r="P17" s="53"/>
      <c r="Q17" s="53"/>
      <c r="R17"/>
      <c r="S17"/>
    </row>
    <row r="18" spans="1:19" x14ac:dyDescent="0.3">
      <c r="A18" s="105" t="s">
        <v>63</v>
      </c>
      <c r="B18" s="55">
        <v>26.481000000000002</v>
      </c>
      <c r="C18" s="55">
        <v>10.51</v>
      </c>
      <c r="D18" s="55">
        <v>23.151</v>
      </c>
      <c r="E18" s="55">
        <v>58.853999999999999</v>
      </c>
      <c r="F18" s="56">
        <v>16.8</v>
      </c>
      <c r="G18" s="53"/>
      <c r="H18" s="147" t="s">
        <v>129</v>
      </c>
      <c r="I18" s="141"/>
      <c r="J18" s="141"/>
      <c r="K18" s="141"/>
      <c r="L18" s="153"/>
      <c r="M18" s="53"/>
      <c r="N18" s="53"/>
      <c r="O18" s="53"/>
      <c r="P18" s="53"/>
      <c r="Q18" s="53"/>
      <c r="R18"/>
      <c r="S18"/>
    </row>
    <row r="19" spans="1:19" ht="15" customHeight="1" x14ac:dyDescent="0.3">
      <c r="A19" s="105" t="s">
        <v>64</v>
      </c>
      <c r="B19" s="55">
        <v>24.113999999999997</v>
      </c>
      <c r="C19" s="55">
        <v>28.009</v>
      </c>
      <c r="D19" s="55">
        <v>52.621000000000002</v>
      </c>
      <c r="E19" s="55">
        <v>57.440999999999995</v>
      </c>
      <c r="F19" s="56">
        <v>17.222000000000001</v>
      </c>
      <c r="G19" s="53"/>
      <c r="H19" s="150" t="s">
        <v>130</v>
      </c>
      <c r="I19" s="139">
        <v>364.83299999999997</v>
      </c>
      <c r="J19" s="139">
        <v>545.38199999999995</v>
      </c>
      <c r="K19" s="139">
        <v>799.66300000000001</v>
      </c>
      <c r="L19" s="151">
        <v>788.11300000000006</v>
      </c>
      <c r="M19" s="53"/>
      <c r="N19" s="53"/>
      <c r="O19" s="53"/>
      <c r="P19" s="53"/>
      <c r="Q19" s="53"/>
      <c r="R19"/>
      <c r="S19"/>
    </row>
    <row r="20" spans="1:19" x14ac:dyDescent="0.3">
      <c r="A20" s="107" t="s">
        <v>65</v>
      </c>
      <c r="B20" s="55"/>
      <c r="C20" s="55"/>
      <c r="D20" s="55"/>
      <c r="E20" s="55"/>
      <c r="F20" s="56"/>
      <c r="G20" s="53"/>
      <c r="H20" s="150" t="s">
        <v>131</v>
      </c>
      <c r="I20" s="139">
        <v>0</v>
      </c>
      <c r="J20" s="139">
        <v>0</v>
      </c>
      <c r="K20" s="139">
        <v>0</v>
      </c>
      <c r="L20" s="151">
        <v>0</v>
      </c>
      <c r="M20" s="68"/>
      <c r="N20" s="68"/>
      <c r="O20" s="68"/>
      <c r="P20" s="68"/>
      <c r="Q20" s="68"/>
      <c r="R20"/>
      <c r="S20"/>
    </row>
    <row r="21" spans="1:19" s="69" customFormat="1" x14ac:dyDescent="0.3">
      <c r="A21" s="108" t="s">
        <v>113</v>
      </c>
      <c r="B21" s="97">
        <f>B13+B17-B18-B19</f>
        <v>77.410000000000139</v>
      </c>
      <c r="C21" s="97">
        <f>C13+C17-C18-C19</f>
        <v>159.26200000000034</v>
      </c>
      <c r="D21" s="97">
        <f>D13+D17-D18-D19</f>
        <v>387.75700000000012</v>
      </c>
      <c r="E21" s="97">
        <f>E13+E17-E18-E19</f>
        <v>520.01899999999989</v>
      </c>
      <c r="F21" s="98">
        <f>F13+F17-F18-F19</f>
        <v>74.413000000000068</v>
      </c>
      <c r="G21" s="53"/>
      <c r="H21" s="150" t="s">
        <v>132</v>
      </c>
      <c r="I21" s="139">
        <v>1629.617</v>
      </c>
      <c r="J21" s="139">
        <v>1002.667</v>
      </c>
      <c r="K21" s="139">
        <v>1623.4389999999999</v>
      </c>
      <c r="L21" s="151">
        <v>1144.366</v>
      </c>
      <c r="M21" s="68"/>
      <c r="N21" s="68"/>
      <c r="O21" s="68"/>
      <c r="P21" s="68"/>
      <c r="Q21" s="68"/>
      <c r="R21"/>
      <c r="S21"/>
    </row>
    <row r="22" spans="1:19" x14ac:dyDescent="0.3">
      <c r="A22" s="107" t="s">
        <v>114</v>
      </c>
      <c r="B22" s="55">
        <v>6.4359999999999999</v>
      </c>
      <c r="C22" s="55">
        <v>-5.9740000000000002</v>
      </c>
      <c r="D22" s="55">
        <v>12.946000000000002</v>
      </c>
      <c r="E22" s="55">
        <v>1.242</v>
      </c>
      <c r="F22" s="56">
        <v>0</v>
      </c>
      <c r="G22" s="53"/>
      <c r="H22" s="150" t="s">
        <v>133</v>
      </c>
      <c r="I22" s="139">
        <v>9.0950000000000006</v>
      </c>
      <c r="J22" s="139">
        <v>31.744999999999997</v>
      </c>
      <c r="K22" s="139">
        <v>10.865</v>
      </c>
      <c r="L22" s="151">
        <v>14.574999999999999</v>
      </c>
      <c r="M22" s="68"/>
      <c r="N22" s="68"/>
      <c r="O22" s="68"/>
      <c r="P22" s="68"/>
      <c r="Q22" s="68"/>
      <c r="R22"/>
      <c r="S22"/>
    </row>
    <row r="23" spans="1:19" x14ac:dyDescent="0.3">
      <c r="A23" s="109" t="s">
        <v>66</v>
      </c>
      <c r="B23" s="110">
        <f>B21+B22</f>
        <v>83.846000000000146</v>
      </c>
      <c r="C23" s="110">
        <f t="shared" ref="C23:F23" si="1">C21+C22</f>
        <v>153.28800000000035</v>
      </c>
      <c r="D23" s="110">
        <f>D21+D22</f>
        <v>400.70300000000015</v>
      </c>
      <c r="E23" s="110">
        <f>E21+E22</f>
        <v>521.26099999999985</v>
      </c>
      <c r="F23" s="111">
        <f t="shared" si="1"/>
        <v>74.413000000000068</v>
      </c>
      <c r="G23" s="53"/>
      <c r="H23" s="150" t="s">
        <v>134</v>
      </c>
      <c r="I23" s="139">
        <v>14.305000000000001</v>
      </c>
      <c r="J23" s="139">
        <v>67.051000000000002</v>
      </c>
      <c r="K23" s="139">
        <v>0</v>
      </c>
      <c r="L23" s="151">
        <v>0</v>
      </c>
      <c r="M23" s="57"/>
      <c r="N23" s="57"/>
      <c r="O23" s="57"/>
      <c r="P23" s="57"/>
      <c r="Q23" s="57"/>
      <c r="R23"/>
      <c r="S23"/>
    </row>
    <row r="24" spans="1:19" x14ac:dyDescent="0.3">
      <c r="A24" s="109"/>
      <c r="B24" s="112"/>
      <c r="C24" s="112"/>
      <c r="D24" s="112"/>
      <c r="E24" s="112"/>
      <c r="F24" s="113"/>
      <c r="G24" s="53"/>
      <c r="H24" s="150" t="s">
        <v>135</v>
      </c>
      <c r="I24" s="139">
        <v>5.415</v>
      </c>
      <c r="J24" s="139">
        <v>6.4540000000000006</v>
      </c>
      <c r="K24" s="139">
        <v>18.359000000000002</v>
      </c>
      <c r="L24" s="151">
        <v>7.2329999999999997</v>
      </c>
      <c r="M24" s="57"/>
      <c r="N24" s="57"/>
      <c r="O24" s="57"/>
      <c r="P24" s="57"/>
      <c r="Q24" s="57"/>
      <c r="R24"/>
      <c r="S24"/>
    </row>
    <row r="25" spans="1:19" x14ac:dyDescent="0.3">
      <c r="A25" s="94" t="s">
        <v>67</v>
      </c>
      <c r="B25" s="55">
        <v>24.044</v>
      </c>
      <c r="C25" s="55">
        <v>43.863</v>
      </c>
      <c r="D25" s="55">
        <v>100.35599999999999</v>
      </c>
      <c r="E25" s="55">
        <v>113.98499999999999</v>
      </c>
      <c r="F25" s="56">
        <v>14.038999999999998</v>
      </c>
      <c r="G25" s="53"/>
      <c r="H25" s="150" t="s">
        <v>136</v>
      </c>
      <c r="I25" s="139">
        <v>35.018000000000001</v>
      </c>
      <c r="J25" s="139">
        <v>82.284999999999997</v>
      </c>
      <c r="K25" s="139">
        <v>123.95399999999999</v>
      </c>
      <c r="L25" s="151">
        <v>182.19800000000001</v>
      </c>
      <c r="M25" s="53"/>
      <c r="N25" s="53"/>
      <c r="O25" s="53"/>
      <c r="P25" s="53"/>
      <c r="Q25" s="53"/>
      <c r="R25"/>
      <c r="S25"/>
    </row>
    <row r="26" spans="1:19" x14ac:dyDescent="0.3">
      <c r="A26" s="103" t="s">
        <v>68</v>
      </c>
      <c r="B26" s="64">
        <f>B25/B23</f>
        <v>0.28676382892445623</v>
      </c>
      <c r="C26" s="64">
        <f t="shared" ref="C26:F26" si="2">C25/C23</f>
        <v>0.2861476436511658</v>
      </c>
      <c r="D26" s="64">
        <f t="shared" si="2"/>
        <v>0.25044983441601376</v>
      </c>
      <c r="E26" s="64">
        <f t="shared" si="2"/>
        <v>0.21867164433940006</v>
      </c>
      <c r="F26" s="65">
        <f t="shared" si="2"/>
        <v>0.18866327120261225</v>
      </c>
      <c r="G26" s="53"/>
      <c r="H26" s="154" t="s">
        <v>137</v>
      </c>
      <c r="I26" s="142">
        <f>SUM(I19:I25)</f>
        <v>2058.2829999999999</v>
      </c>
      <c r="J26" s="142">
        <f>SUM(J19:J25)</f>
        <v>1735.5839999999998</v>
      </c>
      <c r="K26" s="142">
        <f t="shared" ref="K26" si="3">SUM(K19:K25)</f>
        <v>2576.2799999999997</v>
      </c>
      <c r="L26" s="155">
        <f>SUM(L19:L25)</f>
        <v>2136.4850000000001</v>
      </c>
      <c r="M26" s="70"/>
      <c r="N26" s="70"/>
      <c r="O26" s="70"/>
      <c r="P26" s="70"/>
      <c r="Q26" s="70"/>
      <c r="R26"/>
      <c r="S26"/>
    </row>
    <row r="27" spans="1:19" x14ac:dyDescent="0.3">
      <c r="A27" s="106" t="s">
        <v>69</v>
      </c>
      <c r="B27" s="99">
        <f>B23-B25</f>
        <v>59.802000000000149</v>
      </c>
      <c r="C27" s="99">
        <f>C23-C25</f>
        <v>109.42500000000035</v>
      </c>
      <c r="D27" s="99">
        <f>D23-D25</f>
        <v>300.34700000000015</v>
      </c>
      <c r="E27" s="99">
        <f t="shared" ref="E27" si="4">E23-E25</f>
        <v>407.27599999999984</v>
      </c>
      <c r="F27" s="100">
        <f>F23-F25</f>
        <v>60.374000000000066</v>
      </c>
      <c r="G27" s="53"/>
      <c r="H27" s="154" t="s">
        <v>91</v>
      </c>
      <c r="I27" s="142">
        <f>I26+I17</f>
        <v>2239.9059999999999</v>
      </c>
      <c r="J27" s="142">
        <f>J26+J17</f>
        <v>2029.4059999999999</v>
      </c>
      <c r="K27" s="142">
        <f t="shared" ref="K27" si="5">K26+K17</f>
        <v>3217.9259999999999</v>
      </c>
      <c r="L27" s="155">
        <f>L26+L17</f>
        <v>3419.7080000000001</v>
      </c>
      <c r="M27" s="70"/>
      <c r="N27" s="70"/>
      <c r="O27" s="70"/>
      <c r="P27" s="70"/>
      <c r="Q27" s="70"/>
      <c r="R27"/>
      <c r="S27"/>
    </row>
    <row r="28" spans="1:19" x14ac:dyDescent="0.3">
      <c r="A28" s="103" t="s">
        <v>70</v>
      </c>
      <c r="B28" s="64">
        <f>B27/B4</f>
        <v>2.6870166171592241E-2</v>
      </c>
      <c r="C28" s="64">
        <f>C27/C4</f>
        <v>4.6975474874077543E-2</v>
      </c>
      <c r="D28" s="64">
        <f>D27/D4</f>
        <v>0.10878925244900514</v>
      </c>
      <c r="E28" s="64">
        <f>E27/E4</f>
        <v>0.11149467515167505</v>
      </c>
      <c r="F28" s="65">
        <f>F27/F4</f>
        <v>0.11964985364326226</v>
      </c>
      <c r="G28" s="53"/>
      <c r="H28" s="150"/>
      <c r="I28" s="143"/>
      <c r="J28" s="143"/>
      <c r="K28" s="143"/>
      <c r="L28" s="156"/>
      <c r="M28" s="70"/>
      <c r="N28" s="70"/>
      <c r="O28" s="70"/>
      <c r="P28" s="70"/>
      <c r="Q28" s="70"/>
      <c r="R28"/>
      <c r="S28"/>
    </row>
    <row r="29" spans="1:19" x14ac:dyDescent="0.3">
      <c r="A29" s="103" t="s">
        <v>56</v>
      </c>
      <c r="B29" s="59"/>
      <c r="C29" s="59">
        <f>C27/B27-1</f>
        <v>0.82978830139460347</v>
      </c>
      <c r="D29" s="59">
        <f>D27/C27-1</f>
        <v>1.7447749600182698</v>
      </c>
      <c r="E29" s="59">
        <f>E27/D27-1</f>
        <v>0.35601820560884456</v>
      </c>
      <c r="F29" s="66"/>
      <c r="G29" s="53"/>
      <c r="H29" s="147" t="s">
        <v>138</v>
      </c>
      <c r="I29" s="141"/>
      <c r="J29" s="141"/>
      <c r="K29" s="141"/>
      <c r="L29" s="153"/>
      <c r="M29" s="53"/>
      <c r="N29" s="53"/>
      <c r="O29" s="53"/>
      <c r="P29" s="53"/>
      <c r="Q29" s="53"/>
      <c r="R29"/>
      <c r="S29"/>
    </row>
    <row r="30" spans="1:19" x14ac:dyDescent="0.3">
      <c r="A30" s="103" t="s">
        <v>57</v>
      </c>
      <c r="B30" s="59"/>
      <c r="C30" s="59"/>
      <c r="D30" s="59"/>
      <c r="E30" s="59">
        <f>_xlfn.RRI(3,B27,E27)</f>
        <v>0.89550253691142889</v>
      </c>
      <c r="F30" s="66"/>
      <c r="G30" s="53"/>
      <c r="H30" s="147" t="s">
        <v>139</v>
      </c>
      <c r="I30" s="141"/>
      <c r="J30" s="141"/>
      <c r="K30" s="141"/>
      <c r="L30" s="153"/>
      <c r="M30" s="53"/>
      <c r="N30" s="53"/>
      <c r="O30" s="53"/>
      <c r="P30" s="53"/>
      <c r="Q30" s="53"/>
      <c r="R30"/>
      <c r="S30"/>
    </row>
    <row r="31" spans="1:19" x14ac:dyDescent="0.3">
      <c r="A31" s="94" t="s">
        <v>71</v>
      </c>
      <c r="B31" s="55">
        <v>0.99600000000000011</v>
      </c>
      <c r="C31" s="55">
        <v>0.36</v>
      </c>
      <c r="D31" s="55">
        <v>0.20499999999999999</v>
      </c>
      <c r="E31" s="55">
        <v>0.65700000000000003</v>
      </c>
      <c r="F31" s="56">
        <v>0</v>
      </c>
      <c r="G31" s="53"/>
      <c r="H31" s="150" t="s">
        <v>140</v>
      </c>
      <c r="I31" s="139">
        <v>68.989000000000004</v>
      </c>
      <c r="J31" s="139">
        <v>68.989000000000004</v>
      </c>
      <c r="K31" s="139">
        <v>78.302999999999997</v>
      </c>
      <c r="L31" s="151">
        <v>391.517</v>
      </c>
      <c r="M31" s="53"/>
      <c r="N31" s="53"/>
      <c r="O31" s="53"/>
      <c r="P31" s="53"/>
      <c r="Q31" s="53"/>
      <c r="R31"/>
      <c r="S31"/>
    </row>
    <row r="32" spans="1:19" x14ac:dyDescent="0.3">
      <c r="A32" s="102" t="s">
        <v>72</v>
      </c>
      <c r="B32" s="97">
        <f>B27+B31</f>
        <v>60.798000000000151</v>
      </c>
      <c r="C32" s="97">
        <f t="shared" ref="C32" si="6">C27+C31</f>
        <v>109.78500000000035</v>
      </c>
      <c r="D32" s="97">
        <f>D27+D31</f>
        <v>300.55200000000013</v>
      </c>
      <c r="E32" s="97">
        <f>E27+E31</f>
        <v>407.93299999999982</v>
      </c>
      <c r="F32" s="98">
        <f>F27+F31</f>
        <v>60.374000000000066</v>
      </c>
      <c r="G32" s="53"/>
      <c r="H32" s="150" t="s">
        <v>141</v>
      </c>
      <c r="I32" s="139">
        <v>193.011</v>
      </c>
      <c r="J32" s="139">
        <v>318.79700000000003</v>
      </c>
      <c r="K32" s="139">
        <v>876.57899999999995</v>
      </c>
      <c r="L32" s="151">
        <v>968.601</v>
      </c>
      <c r="M32" s="53"/>
      <c r="N32" s="53"/>
      <c r="O32" s="53"/>
      <c r="P32" s="53"/>
      <c r="Q32" s="53"/>
      <c r="R32"/>
      <c r="S32"/>
    </row>
    <row r="33" spans="1:19" x14ac:dyDescent="0.3">
      <c r="A33" s="103" t="s">
        <v>56</v>
      </c>
      <c r="B33" s="59"/>
      <c r="C33" s="59">
        <f>C32/B32-1</f>
        <v>0.80573374124148955</v>
      </c>
      <c r="D33" s="59">
        <f>D32/C32-1</f>
        <v>1.7376417543380169</v>
      </c>
      <c r="E33" s="59">
        <f>E32/D32-1</f>
        <v>0.35727927280470473</v>
      </c>
      <c r="F33" s="66"/>
      <c r="G33" s="53"/>
      <c r="H33" s="150" t="s">
        <v>142</v>
      </c>
      <c r="I33" s="139">
        <f>SUM(I31:I32)</f>
        <v>262</v>
      </c>
      <c r="J33" s="139">
        <f>SUM(J31:J32)</f>
        <v>387.78600000000006</v>
      </c>
      <c r="K33" s="139">
        <f>SUM(K31:K32)</f>
        <v>954.88199999999995</v>
      </c>
      <c r="L33" s="151">
        <f>SUM(L31:L32)</f>
        <v>1360.1179999999999</v>
      </c>
      <c r="R33"/>
      <c r="S33"/>
    </row>
    <row r="34" spans="1:19" x14ac:dyDescent="0.3">
      <c r="A34" s="103" t="s">
        <v>57</v>
      </c>
      <c r="B34" s="59"/>
      <c r="C34" s="59"/>
      <c r="D34" s="59"/>
      <c r="E34" s="59">
        <f>_xlfn.RRI(3,B32,E32)</f>
        <v>0.88610781872669997</v>
      </c>
      <c r="F34" s="66"/>
      <c r="G34" s="53"/>
      <c r="H34" s="150" t="s">
        <v>143</v>
      </c>
      <c r="I34" s="139">
        <v>15.687999999999999</v>
      </c>
      <c r="J34" s="139">
        <v>17.238</v>
      </c>
      <c r="K34" s="139">
        <v>10.123999999999999</v>
      </c>
      <c r="L34" s="151">
        <v>-2.952</v>
      </c>
      <c r="M34" s="57"/>
      <c r="N34" s="57"/>
      <c r="O34" s="57"/>
      <c r="P34" s="57"/>
      <c r="Q34" s="57"/>
      <c r="R34"/>
      <c r="S34"/>
    </row>
    <row r="35" spans="1:19" x14ac:dyDescent="0.3">
      <c r="A35" s="94" t="s">
        <v>17</v>
      </c>
      <c r="B35" s="54"/>
      <c r="C35" s="54"/>
      <c r="D35" s="54"/>
      <c r="E35" s="54"/>
      <c r="F35" s="71"/>
      <c r="G35" s="53"/>
      <c r="H35" s="147" t="s">
        <v>144</v>
      </c>
      <c r="I35" s="140">
        <f>SUM(I33:I34)</f>
        <v>277.68799999999999</v>
      </c>
      <c r="J35" s="140">
        <f>SUM(J33:J34)</f>
        <v>405.02400000000006</v>
      </c>
      <c r="K35" s="140">
        <f t="shared" ref="K35" si="7">SUM(K33:K34)</f>
        <v>965.00599999999997</v>
      </c>
      <c r="L35" s="152">
        <f>SUM(L33:L34)</f>
        <v>1357.1659999999999</v>
      </c>
      <c r="M35" s="53"/>
      <c r="N35" s="53"/>
      <c r="O35" s="53"/>
      <c r="P35" s="53"/>
      <c r="Q35" s="53"/>
      <c r="R35"/>
      <c r="S35"/>
    </row>
    <row r="36" spans="1:19" x14ac:dyDescent="0.3">
      <c r="A36" s="105" t="s">
        <v>73</v>
      </c>
      <c r="B36" s="114">
        <f>11.5/5</f>
        <v>2.2999999999999998</v>
      </c>
      <c r="C36" s="114">
        <v>3.17</v>
      </c>
      <c r="D36" s="114">
        <v>8.15</v>
      </c>
      <c r="E36" s="115">
        <v>10.28</v>
      </c>
      <c r="F36" s="116">
        <v>1.55</v>
      </c>
      <c r="G36" s="53"/>
      <c r="H36" s="147" t="s">
        <v>164</v>
      </c>
      <c r="I36" s="140">
        <f>+I27-I56</f>
        <v>357.76900000000023</v>
      </c>
      <c r="J36" s="140">
        <f t="shared" ref="J36:K36" si="8">+J27-J56</f>
        <v>600.54099999999994</v>
      </c>
      <c r="K36" s="140">
        <f t="shared" si="8"/>
        <v>1146.8470000000002</v>
      </c>
      <c r="L36" s="152">
        <f>+L27-L56</f>
        <v>1786.5730000000003</v>
      </c>
      <c r="M36" s="53"/>
      <c r="N36" s="53"/>
      <c r="O36" s="53"/>
      <c r="P36" s="53"/>
      <c r="Q36" s="53"/>
      <c r="R36"/>
      <c r="S36"/>
    </row>
    <row r="37" spans="1:19" x14ac:dyDescent="0.3">
      <c r="A37" s="105" t="s">
        <v>74</v>
      </c>
      <c r="B37" s="114">
        <f>11.5/5</f>
        <v>2.2999999999999998</v>
      </c>
      <c r="C37" s="114">
        <v>3.17</v>
      </c>
      <c r="D37" s="114">
        <v>8.15</v>
      </c>
      <c r="E37" s="115">
        <v>10.28</v>
      </c>
      <c r="F37" s="116">
        <v>1.55</v>
      </c>
      <c r="G37" s="53"/>
      <c r="H37" s="147" t="s">
        <v>145</v>
      </c>
      <c r="I37" s="141"/>
      <c r="J37" s="141"/>
      <c r="K37" s="141"/>
      <c r="L37" s="153"/>
      <c r="M37" s="53"/>
      <c r="N37" s="53"/>
      <c r="O37" s="53"/>
      <c r="P37" s="53"/>
      <c r="Q37" s="53"/>
      <c r="R37"/>
      <c r="S37"/>
    </row>
    <row r="38" spans="1:19" x14ac:dyDescent="0.3">
      <c r="A38" s="103" t="s">
        <v>56</v>
      </c>
      <c r="B38" s="59"/>
      <c r="C38" s="59">
        <f>C36/B36-1</f>
        <v>0.37826086956521743</v>
      </c>
      <c r="D38" s="59">
        <f>D36/C36-1</f>
        <v>1.5709779179810726</v>
      </c>
      <c r="E38" s="59">
        <f>E36/D36-1</f>
        <v>0.26134969325153357</v>
      </c>
      <c r="F38" s="66"/>
      <c r="G38" s="53"/>
      <c r="H38" s="147" t="s">
        <v>146</v>
      </c>
      <c r="I38" s="141"/>
      <c r="J38" s="144"/>
      <c r="K38" s="141"/>
      <c r="L38" s="153"/>
      <c r="M38" s="53"/>
      <c r="N38" s="53"/>
      <c r="O38" s="53"/>
      <c r="P38" s="53"/>
      <c r="Q38" s="53"/>
      <c r="R38"/>
      <c r="S38"/>
    </row>
    <row r="39" spans="1:19" ht="15.75" customHeight="1" thickBot="1" x14ac:dyDescent="0.35">
      <c r="A39" s="72" t="s">
        <v>57</v>
      </c>
      <c r="B39" s="73"/>
      <c r="C39" s="73"/>
      <c r="D39" s="73"/>
      <c r="E39" s="73">
        <f>_xlfn.RRI(3,B36,E36)</f>
        <v>0.64723322265560057</v>
      </c>
      <c r="F39" s="74"/>
      <c r="G39" s="53"/>
      <c r="H39" s="157" t="s">
        <v>147</v>
      </c>
      <c r="I39" s="145"/>
      <c r="J39" s="145"/>
      <c r="K39" s="145"/>
      <c r="L39" s="158"/>
      <c r="M39" s="53"/>
      <c r="N39" s="53"/>
      <c r="O39" s="53"/>
      <c r="P39" s="53"/>
      <c r="Q39" s="53"/>
      <c r="R39"/>
      <c r="S39"/>
    </row>
    <row r="40" spans="1:19" ht="15.75" customHeight="1" thickBot="1" x14ac:dyDescent="0.35">
      <c r="A40" s="75"/>
      <c r="F40" s="76"/>
      <c r="G40" s="53"/>
      <c r="H40" s="150" t="s">
        <v>148</v>
      </c>
      <c r="I40" s="139">
        <v>73.742999999999995</v>
      </c>
      <c r="J40" s="139">
        <v>184.762</v>
      </c>
      <c r="K40" s="139">
        <v>172.54400000000001</v>
      </c>
      <c r="L40" s="151">
        <v>414.84899999999999</v>
      </c>
      <c r="M40" s="53"/>
      <c r="N40" s="53"/>
      <c r="O40" s="53"/>
      <c r="P40" s="53"/>
      <c r="Q40" s="53"/>
      <c r="R40"/>
      <c r="S40"/>
    </row>
    <row r="41" spans="1:19" ht="15.75" customHeight="1" thickBot="1" x14ac:dyDescent="0.35">
      <c r="A41" s="117" t="s">
        <v>75</v>
      </c>
      <c r="B41" s="77" t="s">
        <v>51</v>
      </c>
      <c r="C41" s="77" t="s">
        <v>52</v>
      </c>
      <c r="D41" s="77" t="s">
        <v>76</v>
      </c>
      <c r="E41" s="78" t="s">
        <v>54</v>
      </c>
      <c r="F41" s="76"/>
      <c r="G41" s="53"/>
      <c r="H41" s="150" t="s">
        <v>149</v>
      </c>
      <c r="I41" s="139">
        <v>1.6190000000000002</v>
      </c>
      <c r="J41" s="139">
        <v>1.6190000000000002</v>
      </c>
      <c r="K41" s="139">
        <v>1.6190000000000002</v>
      </c>
      <c r="L41" s="151">
        <v>1.6190000000000002</v>
      </c>
      <c r="M41" s="53"/>
      <c r="N41" s="53"/>
      <c r="R41"/>
      <c r="S41"/>
    </row>
    <row r="42" spans="1:19" x14ac:dyDescent="0.3">
      <c r="A42" s="75" t="s">
        <v>77</v>
      </c>
      <c r="B42" s="120">
        <v>21.687999999999999</v>
      </c>
      <c r="C42" s="120">
        <f>+B47</f>
        <v>9.095999999999993</v>
      </c>
      <c r="D42" s="120">
        <f>+C47</f>
        <v>31.747000000000003</v>
      </c>
      <c r="E42" s="121">
        <f>+D47</f>
        <v>10.867000000000008</v>
      </c>
      <c r="G42" s="76"/>
      <c r="H42" s="150" t="s">
        <v>150</v>
      </c>
      <c r="I42" s="139">
        <v>0.52100000000000002</v>
      </c>
      <c r="J42" s="139">
        <v>0.47099999999999997</v>
      </c>
      <c r="K42" s="139">
        <v>0.47099999999999997</v>
      </c>
      <c r="L42" s="151">
        <v>4.4049999999999994</v>
      </c>
      <c r="R42"/>
      <c r="S42"/>
    </row>
    <row r="43" spans="1:19" x14ac:dyDescent="0.3">
      <c r="A43" s="79" t="s">
        <v>78</v>
      </c>
      <c r="B43" s="120">
        <v>3.403</v>
      </c>
      <c r="C43" s="120">
        <v>-11.601000000000001</v>
      </c>
      <c r="D43" s="120">
        <v>86.179000000000002</v>
      </c>
      <c r="E43" s="121">
        <v>275.73899999999998</v>
      </c>
      <c r="H43" s="157" t="s">
        <v>151</v>
      </c>
      <c r="I43" s="164">
        <v>4.1980000000000004</v>
      </c>
      <c r="J43" s="164">
        <v>5.1719999999999997</v>
      </c>
      <c r="K43" s="164">
        <v>7.2080000000000002</v>
      </c>
      <c r="L43" s="165">
        <v>8.5340000000000007</v>
      </c>
      <c r="R43"/>
      <c r="S43"/>
    </row>
    <row r="44" spans="1:19" x14ac:dyDescent="0.3">
      <c r="A44" s="79" t="s">
        <v>79</v>
      </c>
      <c r="B44" s="120">
        <v>-71.835000000000008</v>
      </c>
      <c r="C44" s="120">
        <v>-158.08799999999999</v>
      </c>
      <c r="D44" s="120">
        <v>-304.35300000000001</v>
      </c>
      <c r="E44" s="121">
        <v>-675.19299999999998</v>
      </c>
      <c r="F44" s="80"/>
      <c r="H44" s="157" t="s">
        <v>152</v>
      </c>
      <c r="I44" s="164">
        <v>0</v>
      </c>
      <c r="J44" s="164">
        <v>3.4940000000000002</v>
      </c>
      <c r="K44" s="164">
        <v>0</v>
      </c>
      <c r="L44" s="165">
        <v>0</v>
      </c>
    </row>
    <row r="45" spans="1:19" x14ac:dyDescent="0.3">
      <c r="A45" s="79" t="s">
        <v>80</v>
      </c>
      <c r="B45" s="120">
        <v>55.839999999999996</v>
      </c>
      <c r="C45" s="120">
        <v>192.34</v>
      </c>
      <c r="D45" s="120">
        <v>197.29400000000001</v>
      </c>
      <c r="E45" s="121">
        <v>403.16399999999999</v>
      </c>
      <c r="F45" s="76"/>
      <c r="G45" s="80"/>
      <c r="H45" s="147" t="s">
        <v>153</v>
      </c>
      <c r="I45" s="140">
        <f>SUM(I40:I44)</f>
        <v>80.080999999999989</v>
      </c>
      <c r="J45" s="140">
        <f>SUM(J40:J44)</f>
        <v>195.518</v>
      </c>
      <c r="K45" s="140">
        <f t="shared" ref="K45:L45" si="9">SUM(K40:K44)</f>
        <v>181.84200000000001</v>
      </c>
      <c r="L45" s="152">
        <f t="shared" si="9"/>
        <v>429.40699999999998</v>
      </c>
    </row>
    <row r="46" spans="1:19" ht="15.75" customHeight="1" thickBot="1" x14ac:dyDescent="0.35">
      <c r="A46" s="81" t="s">
        <v>81</v>
      </c>
      <c r="B46" s="122">
        <f>SUM(B43:B45)</f>
        <v>-12.592000000000006</v>
      </c>
      <c r="C46" s="122">
        <f>SUM(C43:C45)</f>
        <v>22.65100000000001</v>
      </c>
      <c r="D46" s="122">
        <f>SUM(D43:D45)</f>
        <v>-20.879999999999995</v>
      </c>
      <c r="E46" s="123">
        <f>SUM(E43:E45)</f>
        <v>3.7099999999999795</v>
      </c>
      <c r="F46" s="76"/>
      <c r="G46" s="76"/>
      <c r="H46" s="147" t="s">
        <v>154</v>
      </c>
      <c r="I46" s="141"/>
      <c r="J46" s="141"/>
      <c r="K46" s="141"/>
      <c r="L46" s="153"/>
    </row>
    <row r="47" spans="1:19" ht="15.75" customHeight="1" thickBot="1" x14ac:dyDescent="0.35">
      <c r="A47" s="82" t="s">
        <v>82</v>
      </c>
      <c r="B47" s="124">
        <f>B42+B46</f>
        <v>9.095999999999993</v>
      </c>
      <c r="C47" s="124">
        <f>C42+C46</f>
        <v>31.747000000000003</v>
      </c>
      <c r="D47" s="124">
        <f>D42+D46</f>
        <v>10.867000000000008</v>
      </c>
      <c r="E47" s="125">
        <f>E42+E46</f>
        <v>14.576999999999988</v>
      </c>
      <c r="F47" s="84"/>
      <c r="G47" s="76"/>
      <c r="H47" s="157" t="s">
        <v>147</v>
      </c>
      <c r="I47" s="145"/>
      <c r="J47" s="145"/>
      <c r="K47" s="145"/>
      <c r="L47" s="158"/>
    </row>
    <row r="48" spans="1:19" ht="15.75" customHeight="1" thickBot="1" x14ac:dyDescent="0.35">
      <c r="A48" s="75"/>
      <c r="F48" s="80"/>
      <c r="G48" s="84"/>
      <c r="H48" s="150" t="s">
        <v>148</v>
      </c>
      <c r="I48" s="139">
        <v>117.804</v>
      </c>
      <c r="J48" s="139">
        <v>227.13400000000001</v>
      </c>
      <c r="K48" s="139">
        <v>219.85999999999999</v>
      </c>
      <c r="L48" s="151">
        <v>439.63299999999998</v>
      </c>
    </row>
    <row r="49" spans="1:13" ht="15.75" customHeight="1" thickBot="1" x14ac:dyDescent="0.35">
      <c r="A49" s="117" t="s">
        <v>83</v>
      </c>
      <c r="B49" s="77" t="s">
        <v>51</v>
      </c>
      <c r="C49" s="77" t="s">
        <v>52</v>
      </c>
      <c r="D49" s="77" t="s">
        <v>76</v>
      </c>
      <c r="E49" s="78" t="s">
        <v>54</v>
      </c>
      <c r="G49" s="80"/>
      <c r="H49" s="150" t="s">
        <v>149</v>
      </c>
      <c r="I49" s="139">
        <v>0</v>
      </c>
      <c r="J49" s="139">
        <v>0</v>
      </c>
      <c r="K49" s="139">
        <v>0</v>
      </c>
      <c r="L49" s="151">
        <v>0</v>
      </c>
    </row>
    <row r="50" spans="1:13" x14ac:dyDescent="0.3">
      <c r="A50" s="75" t="s">
        <v>84</v>
      </c>
      <c r="B50" s="120">
        <f>+B43</f>
        <v>3.403</v>
      </c>
      <c r="C50" s="120">
        <f t="shared" ref="C50:E50" si="10">+C43</f>
        <v>-11.601000000000001</v>
      </c>
      <c r="D50" s="120">
        <f t="shared" si="10"/>
        <v>86.179000000000002</v>
      </c>
      <c r="E50" s="121">
        <f t="shared" si="10"/>
        <v>275.73899999999998</v>
      </c>
      <c r="H50" s="150" t="s">
        <v>155</v>
      </c>
      <c r="I50" s="139">
        <v>35.477999999999994</v>
      </c>
      <c r="J50" s="139">
        <v>24.995000000000001</v>
      </c>
      <c r="K50" s="139">
        <v>254.13900000000001</v>
      </c>
      <c r="L50" s="151">
        <v>325.74899999999997</v>
      </c>
    </row>
    <row r="51" spans="1:13" ht="15.75" customHeight="1" thickBot="1" x14ac:dyDescent="0.35">
      <c r="A51" s="85" t="s">
        <v>85</v>
      </c>
      <c r="B51" s="118">
        <v>11.381</v>
      </c>
      <c r="C51" s="118">
        <v>72.623999999999995</v>
      </c>
      <c r="D51" s="118">
        <v>254.97399999999999</v>
      </c>
      <c r="E51" s="119">
        <v>500.22</v>
      </c>
      <c r="H51" s="150" t="s">
        <v>156</v>
      </c>
      <c r="I51" s="139">
        <v>1667.5099999999998</v>
      </c>
      <c r="J51" s="139">
        <v>1073.7239999999999</v>
      </c>
      <c r="K51" s="139">
        <v>1404.7809999999999</v>
      </c>
      <c r="L51" s="151">
        <v>576.00400000000002</v>
      </c>
    </row>
    <row r="52" spans="1:13" ht="15.75" customHeight="1" thickBot="1" x14ac:dyDescent="0.35">
      <c r="A52" s="82" t="s">
        <v>25</v>
      </c>
      <c r="B52" s="83">
        <f>B50-B51</f>
        <v>-7.9779999999999998</v>
      </c>
      <c r="C52" s="83">
        <f t="shared" ref="C52:E52" si="11">C50-C51</f>
        <v>-84.224999999999994</v>
      </c>
      <c r="D52" s="83">
        <f t="shared" si="11"/>
        <v>-168.79499999999999</v>
      </c>
      <c r="E52" s="87">
        <f t="shared" si="11"/>
        <v>-224.48100000000005</v>
      </c>
      <c r="H52" s="150" t="s">
        <v>157</v>
      </c>
      <c r="I52" s="139">
        <v>21.722000000000001</v>
      </c>
      <c r="J52" s="139">
        <v>21.748999999999999</v>
      </c>
      <c r="K52" s="139">
        <v>31.847999999999999</v>
      </c>
      <c r="L52" s="151">
        <v>38.11</v>
      </c>
      <c r="M52" s="86"/>
    </row>
    <row r="53" spans="1:13" ht="15.75" customHeight="1" thickBot="1" x14ac:dyDescent="0.35">
      <c r="A53" s="75"/>
      <c r="H53" s="157" t="s">
        <v>158</v>
      </c>
      <c r="I53" s="139">
        <v>6.8529999999999998</v>
      </c>
      <c r="J53" s="139">
        <v>6.7880000000000003</v>
      </c>
      <c r="K53" s="139">
        <v>55.368000000000002</v>
      </c>
      <c r="L53" s="151">
        <v>135.91800000000001</v>
      </c>
      <c r="M53" s="86"/>
    </row>
    <row r="54" spans="1:13" ht="15.75" customHeight="1" thickBot="1" x14ac:dyDescent="0.35">
      <c r="A54" s="117" t="s">
        <v>83</v>
      </c>
      <c r="B54" s="77" t="s">
        <v>51</v>
      </c>
      <c r="C54" s="77" t="s">
        <v>52</v>
      </c>
      <c r="D54" s="77" t="s">
        <v>76</v>
      </c>
      <c r="E54" s="77" t="s">
        <v>54</v>
      </c>
      <c r="F54" s="78" t="s">
        <v>108</v>
      </c>
      <c r="H54" s="157" t="s">
        <v>159</v>
      </c>
      <c r="I54" s="139">
        <v>32.466000000000001</v>
      </c>
      <c r="J54" s="139">
        <v>74.108000000000004</v>
      </c>
      <c r="K54" s="139">
        <v>104.651</v>
      </c>
      <c r="L54" s="151">
        <v>117.13399999999999</v>
      </c>
      <c r="M54" s="88"/>
    </row>
    <row r="55" spans="1:13" x14ac:dyDescent="0.3">
      <c r="A55" s="75" t="s">
        <v>86</v>
      </c>
      <c r="B55" s="129">
        <v>68.989999999999995</v>
      </c>
      <c r="C55" s="129">
        <v>68.989999999999995</v>
      </c>
      <c r="D55" s="130">
        <v>78.3</v>
      </c>
      <c r="E55" s="131">
        <v>391.52</v>
      </c>
      <c r="F55" s="132">
        <v>391.52</v>
      </c>
      <c r="H55" s="157" t="s">
        <v>160</v>
      </c>
      <c r="I55" s="139">
        <v>0.30399999999999999</v>
      </c>
      <c r="J55" s="139">
        <v>0.36699999999999999</v>
      </c>
      <c r="K55" s="139">
        <v>0.43200000000000005</v>
      </c>
      <c r="L55" s="151">
        <v>0.58699999999999997</v>
      </c>
    </row>
    <row r="56" spans="1:13" x14ac:dyDescent="0.3">
      <c r="A56" s="75" t="s">
        <v>87</v>
      </c>
      <c r="B56" s="129">
        <v>10</v>
      </c>
      <c r="C56" s="129">
        <v>10</v>
      </c>
      <c r="D56" s="129">
        <v>10</v>
      </c>
      <c r="E56" s="129">
        <v>10</v>
      </c>
      <c r="F56" s="133">
        <v>10</v>
      </c>
      <c r="H56" s="159" t="s">
        <v>161</v>
      </c>
      <c r="I56" s="146">
        <f>SUM(I48:I55)</f>
        <v>1882.1369999999997</v>
      </c>
      <c r="J56" s="146">
        <f t="shared" ref="J56:L56" si="12">SUM(J48:J55)</f>
        <v>1428.865</v>
      </c>
      <c r="K56" s="146">
        <f t="shared" si="12"/>
        <v>2071.0789999999997</v>
      </c>
      <c r="L56" s="160">
        <f t="shared" si="12"/>
        <v>1633.1349999999998</v>
      </c>
    </row>
    <row r="57" spans="1:13" ht="16.2" thickBot="1" x14ac:dyDescent="0.35">
      <c r="A57" s="85" t="s">
        <v>88</v>
      </c>
      <c r="B57" s="127">
        <f>+B56*B55</f>
        <v>689.9</v>
      </c>
      <c r="C57" s="127">
        <f t="shared" ref="C57:F57" si="13">+C56*C55</f>
        <v>689.9</v>
      </c>
      <c r="D57" s="127">
        <f t="shared" si="13"/>
        <v>783</v>
      </c>
      <c r="E57" s="127">
        <f t="shared" si="13"/>
        <v>3915.2</v>
      </c>
      <c r="F57" s="128">
        <f t="shared" si="13"/>
        <v>3915.2</v>
      </c>
      <c r="H57" s="161" t="s">
        <v>90</v>
      </c>
      <c r="I57" s="162">
        <f>+I56+I45+I35</f>
        <v>2239.9059999999995</v>
      </c>
      <c r="J57" s="162">
        <f>+J56+J45+J35</f>
        <v>2029.4070000000002</v>
      </c>
      <c r="K57" s="162">
        <f>+K56+K45+K35</f>
        <v>3217.9269999999997</v>
      </c>
      <c r="L57" s="163">
        <f>+L56+L45+L35</f>
        <v>3419.7079999999996</v>
      </c>
      <c r="M57" s="89"/>
    </row>
    <row r="58" spans="1:13" x14ac:dyDescent="0.3">
      <c r="A58" s="85" t="s">
        <v>20</v>
      </c>
      <c r="B58" s="126">
        <f>I40+I48</f>
        <v>191.547</v>
      </c>
      <c r="C58" s="126">
        <f t="shared" ref="C58:E58" si="14">J40+J48</f>
        <v>411.89600000000002</v>
      </c>
      <c r="D58" s="126">
        <f t="shared" si="14"/>
        <v>392.404</v>
      </c>
      <c r="E58" s="126">
        <f t="shared" si="14"/>
        <v>854.48199999999997</v>
      </c>
      <c r="F58" s="134" t="s">
        <v>163</v>
      </c>
      <c r="H58" s="53"/>
      <c r="I58" s="90"/>
      <c r="J58" s="90"/>
      <c r="K58" s="90"/>
      <c r="L58" s="90"/>
    </row>
    <row r="59" spans="1:13" ht="15.75" customHeight="1" thickBot="1" x14ac:dyDescent="0.35">
      <c r="A59" s="85" t="s">
        <v>89</v>
      </c>
      <c r="B59" s="126">
        <f>+I22</f>
        <v>9.0950000000000006</v>
      </c>
      <c r="C59" s="126">
        <f t="shared" ref="C59:E59" si="15">+J22</f>
        <v>31.744999999999997</v>
      </c>
      <c r="D59" s="126">
        <f t="shared" si="15"/>
        <v>10.865</v>
      </c>
      <c r="E59" s="126">
        <f t="shared" si="15"/>
        <v>14.574999999999999</v>
      </c>
      <c r="F59" s="134" t="s">
        <v>163</v>
      </c>
      <c r="I59" s="93"/>
    </row>
    <row r="60" spans="1:13" ht="15.75" customHeight="1" thickBot="1" x14ac:dyDescent="0.35">
      <c r="A60" s="82" t="s">
        <v>28</v>
      </c>
      <c r="B60" s="83">
        <f>B57+B58-B59</f>
        <v>872.35199999999998</v>
      </c>
      <c r="C60" s="83">
        <f t="shared" ref="C60:E60" si="16">C57+C58-C59</f>
        <v>1070.0510000000002</v>
      </c>
      <c r="D60" s="83">
        <f t="shared" si="16"/>
        <v>1164.539</v>
      </c>
      <c r="E60" s="83">
        <f t="shared" si="16"/>
        <v>4755.107</v>
      </c>
      <c r="F60" s="135" t="s">
        <v>163</v>
      </c>
      <c r="H60" s="169" t="s">
        <v>83</v>
      </c>
      <c r="I60" s="170" t="s">
        <v>51</v>
      </c>
      <c r="J60" s="170" t="s">
        <v>52</v>
      </c>
      <c r="K60" s="170" t="s">
        <v>76</v>
      </c>
      <c r="L60" s="170" t="s">
        <v>54</v>
      </c>
      <c r="M60" s="171" t="s">
        <v>108</v>
      </c>
    </row>
    <row r="61" spans="1:13" x14ac:dyDescent="0.3">
      <c r="A61" s="91"/>
      <c r="B61" s="92"/>
      <c r="C61" s="92"/>
      <c r="D61" s="92"/>
      <c r="E61" s="84"/>
      <c r="H61" s="94" t="s">
        <v>92</v>
      </c>
      <c r="I61" s="172">
        <v>0</v>
      </c>
      <c r="J61" s="172">
        <v>0</v>
      </c>
      <c r="K61" s="172">
        <v>0</v>
      </c>
      <c r="L61" s="172">
        <v>0</v>
      </c>
      <c r="M61" s="176">
        <v>0</v>
      </c>
    </row>
    <row r="62" spans="1:13" ht="15.75" customHeight="1" x14ac:dyDescent="0.3">
      <c r="H62" s="177" t="s">
        <v>93</v>
      </c>
      <c r="I62" s="173">
        <f>B37</f>
        <v>2.2999999999999998</v>
      </c>
      <c r="J62" s="173">
        <f t="shared" ref="J62:M62" si="17">C37</f>
        <v>3.17</v>
      </c>
      <c r="K62" s="173">
        <f t="shared" si="17"/>
        <v>8.15</v>
      </c>
      <c r="L62" s="173">
        <f t="shared" si="17"/>
        <v>10.28</v>
      </c>
      <c r="M62" s="178">
        <f t="shared" si="17"/>
        <v>1.55</v>
      </c>
    </row>
    <row r="63" spans="1:13" x14ac:dyDescent="0.3">
      <c r="H63" s="177" t="s">
        <v>94</v>
      </c>
      <c r="I63" s="173">
        <f>I35/B55</f>
        <v>4.0250471082765618</v>
      </c>
      <c r="J63" s="173">
        <f>J35/C55</f>
        <v>5.870763878823019</v>
      </c>
      <c r="K63" s="173">
        <f>K35/D55</f>
        <v>12.324469987228609</v>
      </c>
      <c r="L63" s="173">
        <f>L35/E55</f>
        <v>3.4664027380465878</v>
      </c>
      <c r="M63" s="178">
        <v>0</v>
      </c>
    </row>
    <row r="64" spans="1:13" x14ac:dyDescent="0.3">
      <c r="H64" s="177" t="s">
        <v>95</v>
      </c>
      <c r="I64" s="173">
        <f>I61/I62</f>
        <v>0</v>
      </c>
      <c r="J64" s="173">
        <f t="shared" ref="J64:L64" si="18">J61/J62</f>
        <v>0</v>
      </c>
      <c r="K64" s="173">
        <f t="shared" si="18"/>
        <v>0</v>
      </c>
      <c r="L64" s="173">
        <f t="shared" si="18"/>
        <v>0</v>
      </c>
      <c r="M64" s="178">
        <v>0</v>
      </c>
    </row>
    <row r="65" spans="8:13" x14ac:dyDescent="0.3">
      <c r="H65" s="177" t="s">
        <v>96</v>
      </c>
      <c r="I65" s="173">
        <v>0</v>
      </c>
      <c r="J65" s="173">
        <v>0</v>
      </c>
      <c r="K65" s="173">
        <v>0</v>
      </c>
      <c r="L65" s="173">
        <v>0</v>
      </c>
      <c r="M65" s="178">
        <v>0</v>
      </c>
    </row>
    <row r="66" spans="8:13" x14ac:dyDescent="0.3">
      <c r="H66" s="177" t="s">
        <v>97</v>
      </c>
      <c r="I66" s="173">
        <f>B60/B13</f>
        <v>6.93272722937908</v>
      </c>
      <c r="J66" s="173">
        <f>C60/C13</f>
        <v>5.4989747727284319</v>
      </c>
      <c r="K66" s="173">
        <f>D60/D13</f>
        <v>2.5368843441681928</v>
      </c>
      <c r="L66" s="173">
        <f>E60/E13</f>
        <v>7.5589593510409836</v>
      </c>
      <c r="M66" s="178">
        <v>0</v>
      </c>
    </row>
    <row r="67" spans="8:13" x14ac:dyDescent="0.3">
      <c r="H67" s="177" t="s">
        <v>98</v>
      </c>
      <c r="I67" s="173">
        <f>+B4/(I6+I7)</f>
        <v>28.742151279170383</v>
      </c>
      <c r="J67" s="173">
        <f>+C4/(J6+J7)</f>
        <v>16.232801393728224</v>
      </c>
      <c r="K67" s="173">
        <f>+D4/(K6+K7)</f>
        <v>9.0114927896698731</v>
      </c>
      <c r="L67" s="173">
        <f>+E4/(L6+L7)</f>
        <v>4.9905513704338222</v>
      </c>
      <c r="M67" s="178">
        <v>0</v>
      </c>
    </row>
    <row r="68" spans="8:13" x14ac:dyDescent="0.3">
      <c r="H68" s="177" t="s">
        <v>99</v>
      </c>
      <c r="I68" s="174">
        <f>+B27/(AVERAGE(H35:I35))</f>
        <v>0.2153568033188332</v>
      </c>
      <c r="J68" s="174">
        <f>+C27/(AVERAGE(I35:J35))</f>
        <v>0.32055976751543946</v>
      </c>
      <c r="K68" s="174">
        <f>+D27/(AVERAGE(J35:K35))</f>
        <v>0.43845317255826538</v>
      </c>
      <c r="L68" s="174">
        <f>+E27/(AVERAGE(K35:L35))</f>
        <v>0.35077160520409328</v>
      </c>
      <c r="M68" s="178">
        <v>0</v>
      </c>
    </row>
    <row r="69" spans="8:13" x14ac:dyDescent="0.3">
      <c r="H69" s="177" t="s">
        <v>100</v>
      </c>
      <c r="I69" s="174">
        <f>(B21+B19)/AVERAGE(I36:I36)</f>
        <v>0.28376969497077748</v>
      </c>
      <c r="J69" s="174">
        <f t="shared" ref="J69:L69" si="19">(C21+C19)/AVERAGE(J36:J36)</f>
        <v>0.31183716016058916</v>
      </c>
      <c r="K69" s="174">
        <f t="shared" si="19"/>
        <v>0.38399019224011577</v>
      </c>
      <c r="L69" s="174">
        <f t="shared" si="19"/>
        <v>0.32322216892340799</v>
      </c>
      <c r="M69" s="178">
        <v>0</v>
      </c>
    </row>
    <row r="70" spans="8:13" x14ac:dyDescent="0.3">
      <c r="H70" s="177" t="s">
        <v>101</v>
      </c>
      <c r="I70" s="173">
        <f>+B58/I35</f>
        <v>0.68979214081991302</v>
      </c>
      <c r="J70" s="173">
        <f t="shared" ref="J70:L70" si="20">+C58/J35</f>
        <v>1.0169668957888913</v>
      </c>
      <c r="K70" s="173">
        <f t="shared" si="20"/>
        <v>0.40663374113736084</v>
      </c>
      <c r="L70" s="173">
        <f t="shared" si="20"/>
        <v>0.62960757932338418</v>
      </c>
      <c r="M70" s="178">
        <v>0</v>
      </c>
    </row>
    <row r="71" spans="8:13" x14ac:dyDescent="0.3">
      <c r="H71" s="177" t="s">
        <v>102</v>
      </c>
      <c r="I71" s="173">
        <f>+(B58-B59)/I35</f>
        <v>0.65703955518423551</v>
      </c>
      <c r="J71" s="173">
        <f t="shared" ref="J71:L71" si="21">+(C58-C59)/J35</f>
        <v>0.93858882436596336</v>
      </c>
      <c r="K71" s="173">
        <f t="shared" si="21"/>
        <v>0.39537474378397647</v>
      </c>
      <c r="L71" s="173">
        <f t="shared" si="21"/>
        <v>0.61886828877233879</v>
      </c>
      <c r="M71" s="178">
        <v>0</v>
      </c>
    </row>
    <row r="72" spans="8:13" x14ac:dyDescent="0.3">
      <c r="H72" s="177" t="s">
        <v>103</v>
      </c>
      <c r="I72" s="175">
        <f>+AVERAGE(H21:I21)/B4*365</f>
        <v>267.25944030147502</v>
      </c>
      <c r="J72" s="175">
        <f t="shared" ref="J72:L72" si="22">+AVERAGE(I21:J21)/C4*365</f>
        <v>206.22923774162265</v>
      </c>
      <c r="K72" s="175">
        <f t="shared" si="22"/>
        <v>173.59524089806811</v>
      </c>
      <c r="L72" s="175">
        <f t="shared" si="22"/>
        <v>138.28136762998122</v>
      </c>
      <c r="M72" s="178">
        <v>0</v>
      </c>
    </row>
    <row r="73" spans="8:13" x14ac:dyDescent="0.3">
      <c r="H73" s="177" t="s">
        <v>104</v>
      </c>
      <c r="I73" s="175">
        <f>+AVERAGE(H50:I51)/SUM(B9:B10)*365</f>
        <v>185.31102372768169</v>
      </c>
      <c r="J73" s="175">
        <f t="shared" ref="J73:L73" si="23">+AVERAGE(I50:J51)/SUM(C9:C10)*365</f>
        <v>171.27126690315166</v>
      </c>
      <c r="K73" s="175">
        <f t="shared" si="23"/>
        <v>163.98226598754138</v>
      </c>
      <c r="L73" s="175">
        <f t="shared" si="23"/>
        <v>104.15378403219715</v>
      </c>
      <c r="M73" s="178">
        <v>0</v>
      </c>
    </row>
    <row r="74" spans="8:13" x14ac:dyDescent="0.3">
      <c r="H74" s="177" t="s">
        <v>41</v>
      </c>
      <c r="I74" s="175">
        <f>AVERAGE(H19:I19)/SUM(B9:B10)*365</f>
        <v>79.398770537010606</v>
      </c>
      <c r="J74" s="175">
        <f t="shared" ref="J74:L74" si="24">AVERAGE(I19:J19)/SUM(C9:C10)*365</f>
        <v>111.28478188779354</v>
      </c>
      <c r="K74" s="175">
        <f t="shared" si="24"/>
        <v>159.96548275913753</v>
      </c>
      <c r="L74" s="175">
        <f t="shared" si="24"/>
        <v>129.16360550176137</v>
      </c>
      <c r="M74" s="178">
        <v>0</v>
      </c>
    </row>
    <row r="75" spans="8:13" x14ac:dyDescent="0.3">
      <c r="H75" s="177" t="s">
        <v>105</v>
      </c>
      <c r="I75" s="175">
        <f>+I72+I74-I73</f>
        <v>161.34718711080393</v>
      </c>
      <c r="J75" s="175">
        <f t="shared" ref="J75:L75" si="25">+J72+J74-J73</f>
        <v>146.24275272626457</v>
      </c>
      <c r="K75" s="175">
        <f t="shared" si="25"/>
        <v>169.57845766966426</v>
      </c>
      <c r="L75" s="175">
        <f t="shared" si="25"/>
        <v>163.29118909954542</v>
      </c>
      <c r="M75" s="178">
        <v>0</v>
      </c>
    </row>
    <row r="76" spans="8:13" x14ac:dyDescent="0.3">
      <c r="H76" s="177" t="s">
        <v>106</v>
      </c>
      <c r="I76" s="174">
        <f>+B19/B58</f>
        <v>0.12589077354382996</v>
      </c>
      <c r="J76" s="174">
        <f t="shared" ref="J76:L76" si="26">+C19/C58</f>
        <v>6.8000174801406174E-2</v>
      </c>
      <c r="K76" s="174">
        <f t="shared" si="26"/>
        <v>0.13409904078449761</v>
      </c>
      <c r="L76" s="174">
        <f t="shared" si="26"/>
        <v>6.7223183168282061E-2</v>
      </c>
      <c r="M76" s="178">
        <v>0</v>
      </c>
    </row>
    <row r="77" spans="8:13" ht="16.2" thickBot="1" x14ac:dyDescent="0.35">
      <c r="H77" s="179" t="s">
        <v>107</v>
      </c>
      <c r="I77" s="180">
        <f>+(B21+B19)/B19</f>
        <v>4.210168366923785</v>
      </c>
      <c r="J77" s="180">
        <f t="shared" ref="J77:L77" si="27">+(C21+C19)/C19</f>
        <v>6.6861008961405393</v>
      </c>
      <c r="K77" s="180">
        <f t="shared" si="27"/>
        <v>8.3688641416924821</v>
      </c>
      <c r="L77" s="180">
        <f t="shared" si="27"/>
        <v>10.053097961386465</v>
      </c>
      <c r="M77" s="181">
        <v>0</v>
      </c>
    </row>
    <row r="79" spans="8:13" ht="15.75" customHeight="1" x14ac:dyDescent="0.3">
      <c r="H79" s="95"/>
      <c r="I79" s="95"/>
      <c r="J79" s="95"/>
    </row>
  </sheetData>
  <mergeCells count="3">
    <mergeCell ref="A1:L1"/>
    <mergeCell ref="H2:L2"/>
    <mergeCell ref="A2:F2"/>
  </mergeCells>
  <printOptions horizontalCentered="1" verticalCentered="1"/>
  <pageMargins left="0" right="0" top="0.196527777777778" bottom="0" header="0.511811023622047" footer="0.511811023622047"/>
  <pageSetup paperSize="4" orientation="landscape" horizontalDpi="300" verticalDpi="300" r:id="rId1"/>
  <ignoredErrors>
    <ignoredError sqref="I72:L7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Peer Analysis</vt:lpstr>
      <vt:lpstr>Consol</vt:lpstr>
      <vt:lpstr>'Peer Analysis'!Print_Area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DELL</cp:lastModifiedBy>
  <cp:revision>0</cp:revision>
  <cp:lastPrinted>2021-05-19T08:13:17Z</cp:lastPrinted>
  <dcterms:created xsi:type="dcterms:W3CDTF">2021-01-27T07:46:46Z</dcterms:created>
  <dcterms:modified xsi:type="dcterms:W3CDTF">2026-08-25T09:30:56Z</dcterms:modified>
  <dc:language>en-US</dc:language>
</cp:coreProperties>
</file>