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3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ELL\Downloads\"/>
    </mc:Choice>
  </mc:AlternateContent>
  <xr:revisionPtr revIDLastSave="0" documentId="13_ncr:1_{1A7A5540-59A0-4206-891C-C4B98B01131E}" xr6:coauthVersionLast="47" xr6:coauthVersionMax="47" xr10:uidLastSave="{00000000-0000-0000-0000-000000000000}"/>
  <bookViews>
    <workbookView xWindow="-108" yWindow="-108" windowWidth="23256" windowHeight="12456" firstSheet="1" activeTab="1" xr2:uid="{00000000-000D-0000-FFFF-FFFF00000000}"/>
  </bookViews>
  <sheets>
    <sheet name="Standalone" sheetId="4" state="hidden" r:id="rId1"/>
    <sheet name="Sheet" sheetId="5" r:id="rId2"/>
    <sheet name="Peer Analysis working" sheetId="6" state="hidden" r:id="rId3"/>
    <sheet name="Peer Analysis Final" sheetId="7" state="hidden" r:id="rId4"/>
  </sheets>
  <externalReferences>
    <externalReference r:id="rId5"/>
  </externalReferences>
  <definedNames>
    <definedName name="_xlnm.Print_Area" localSheetId="3">'Peer Analysis Final'!$A$1:$I$51</definedName>
    <definedName name="_xlnm.Print_Area" localSheetId="1">Sheet!$A$1:$H$78</definedName>
    <definedName name="_xlnm.Print_Area" localSheetId="0">Standalone!$A$1:$T$78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76" i="5" l="1"/>
  <c r="L75" i="5"/>
  <c r="K75" i="5"/>
  <c r="J75" i="5"/>
  <c r="I75" i="5"/>
  <c r="J74" i="5"/>
  <c r="L73" i="5"/>
  <c r="K73" i="5"/>
  <c r="J73" i="5"/>
  <c r="L72" i="5"/>
  <c r="K72" i="5"/>
  <c r="J72" i="5"/>
  <c r="K71" i="5"/>
  <c r="L71" i="5"/>
  <c r="J71" i="5"/>
  <c r="J69" i="5"/>
  <c r="K69" i="5"/>
  <c r="L69" i="5"/>
  <c r="I69" i="5"/>
  <c r="I68" i="5"/>
  <c r="L66" i="5"/>
  <c r="K66" i="5"/>
  <c r="J66" i="5"/>
  <c r="L65" i="5"/>
  <c r="I65" i="5"/>
  <c r="L63" i="5"/>
  <c r="K63" i="5"/>
  <c r="I63" i="5"/>
  <c r="L61" i="5"/>
  <c r="J61" i="5"/>
  <c r="I61" i="5"/>
  <c r="M63" i="5"/>
  <c r="N60" i="5"/>
  <c r="M60" i="5"/>
  <c r="F65" i="5"/>
  <c r="B64" i="5"/>
  <c r="C64" i="5"/>
  <c r="D64" i="5"/>
  <c r="L40" i="5"/>
  <c r="K40" i="5"/>
  <c r="J40" i="5"/>
  <c r="I40" i="5"/>
  <c r="I38" i="5" s="1"/>
  <c r="L32" i="5"/>
  <c r="L27" i="5" s="1"/>
  <c r="L16" i="5"/>
  <c r="L15" i="5" s="1"/>
  <c r="K11" i="5"/>
  <c r="D62" i="5" s="1"/>
  <c r="L38" i="5"/>
  <c r="K38" i="5"/>
  <c r="J27" i="5"/>
  <c r="K27" i="5"/>
  <c r="I27" i="5"/>
  <c r="J15" i="5"/>
  <c r="I15" i="5"/>
  <c r="K15" i="5"/>
  <c r="B63" i="5"/>
  <c r="B62" i="5"/>
  <c r="F61" i="5"/>
  <c r="E61" i="5"/>
  <c r="E65" i="5" s="1"/>
  <c r="D61" i="5"/>
  <c r="C61" i="5"/>
  <c r="C65" i="5" s="1"/>
  <c r="B61" i="5"/>
  <c r="B65" i="5" s="1"/>
  <c r="E52" i="5"/>
  <c r="D52" i="5"/>
  <c r="E6" i="5"/>
  <c r="E5" i="5"/>
  <c r="D5" i="5"/>
  <c r="C5" i="5"/>
  <c r="L60" i="5"/>
  <c r="I60" i="5"/>
  <c r="D63" i="5"/>
  <c r="D65" i="5" s="1"/>
  <c r="C63" i="5"/>
  <c r="C62" i="5"/>
  <c r="B52" i="5"/>
  <c r="L7" i="5"/>
  <c r="J7" i="5"/>
  <c r="I7" i="5"/>
  <c r="I47" i="5"/>
  <c r="K47" i="5"/>
  <c r="J47" i="5"/>
  <c r="L47" i="5"/>
  <c r="J11" i="5"/>
  <c r="L11" i="5"/>
  <c r="L68" i="5" s="1"/>
  <c r="I11" i="5"/>
  <c r="K7" i="5"/>
  <c r="K61" i="5" s="1"/>
  <c r="K64" i="5" s="1"/>
  <c r="B53" i="5"/>
  <c r="C48" i="5" s="1"/>
  <c r="C52" i="5"/>
  <c r="L64" i="5" l="1"/>
  <c r="J64" i="5"/>
  <c r="L14" i="5"/>
  <c r="C53" i="5"/>
  <c r="J38" i="5"/>
  <c r="J68" i="5"/>
  <c r="K54" i="5"/>
  <c r="K68" i="5"/>
  <c r="L46" i="5"/>
  <c r="I14" i="5"/>
  <c r="I64" i="5"/>
  <c r="I54" i="5"/>
  <c r="J54" i="5"/>
  <c r="D48" i="5"/>
  <c r="L54" i="5"/>
  <c r="J46" i="5"/>
  <c r="I46" i="5"/>
  <c r="K14" i="5"/>
  <c r="K46" i="5"/>
  <c r="J53" i="5"/>
  <c r="J14" i="5"/>
  <c r="B7" i="5"/>
  <c r="B13" i="5" s="1"/>
  <c r="D53" i="5" l="1"/>
  <c r="E48" i="5" s="1"/>
  <c r="E53" i="5" s="1"/>
  <c r="B16" i="5"/>
  <c r="B22" i="5"/>
  <c r="B24" i="5" s="1"/>
  <c r="F7" i="5"/>
  <c r="F13" i="5" s="1"/>
  <c r="F16" i="5" l="1"/>
  <c r="F22" i="5"/>
  <c r="F24" i="5" s="1"/>
  <c r="E35" i="5"/>
  <c r="E34" i="5"/>
  <c r="E7" i="5"/>
  <c r="E13" i="5" s="1"/>
  <c r="L74" i="5"/>
  <c r="D7" i="5"/>
  <c r="E22" i="5" l="1"/>
  <c r="E24" i="5" s="1"/>
  <c r="E16" i="5"/>
  <c r="F25" i="5"/>
  <c r="L53" i="5"/>
  <c r="D13" i="5"/>
  <c r="E14" i="5" s="1"/>
  <c r="E25" i="5" l="1"/>
  <c r="E30" i="5" s="1"/>
  <c r="D16" i="5"/>
  <c r="D22" i="5"/>
  <c r="E26" i="5"/>
  <c r="F30" i="5"/>
  <c r="F26" i="5"/>
  <c r="L76" i="5"/>
  <c r="K60" i="5"/>
  <c r="K74" i="5"/>
  <c r="J60" i="5"/>
  <c r="J63" i="5" s="1"/>
  <c r="C7" i="5"/>
  <c r="C13" i="5" s="1"/>
  <c r="D25" i="5" l="1"/>
  <c r="D30" i="5" s="1"/>
  <c r="E31" i="5" s="1"/>
  <c r="K76" i="5"/>
  <c r="C16" i="5"/>
  <c r="C22" i="5"/>
  <c r="C24" i="5" s="1"/>
  <c r="K65" i="5"/>
  <c r="J76" i="5" l="1"/>
  <c r="K53" i="5"/>
  <c r="C25" i="5" l="1"/>
  <c r="C26" i="5" l="1"/>
  <c r="D26" i="5"/>
  <c r="E15" i="5" l="1"/>
  <c r="J65" i="5" l="1"/>
  <c r="I53" i="5"/>
  <c r="B25" i="5" l="1"/>
  <c r="G34" i="7"/>
  <c r="I34" i="7"/>
  <c r="I33" i="7"/>
  <c r="G33" i="7"/>
  <c r="E33" i="7"/>
  <c r="I28" i="7"/>
  <c r="G28" i="7"/>
  <c r="E28" i="7"/>
  <c r="I38" i="7"/>
  <c r="G38" i="7"/>
  <c r="E38" i="7"/>
  <c r="E34" i="7"/>
  <c r="H38" i="7"/>
  <c r="D38" i="7"/>
  <c r="F38" i="7"/>
  <c r="B30" i="5" l="1"/>
  <c r="E32" i="5" s="1"/>
  <c r="B26" i="5"/>
  <c r="C37" i="7"/>
  <c r="C27" i="7"/>
  <c r="C24" i="7"/>
  <c r="C21" i="7"/>
  <c r="C43" i="7"/>
  <c r="C25" i="7"/>
  <c r="C28" i="7"/>
  <c r="C14" i="7"/>
  <c r="C6" i="7"/>
  <c r="C32" i="7"/>
  <c r="C31" i="7"/>
  <c r="C49" i="7" l="1"/>
  <c r="C48" i="7"/>
  <c r="C18" i="7"/>
  <c r="C38" i="7" s="1"/>
  <c r="C51" i="7"/>
  <c r="C19" i="7"/>
  <c r="C39" i="7" l="1"/>
  <c r="C33" i="7"/>
  <c r="C29" i="7"/>
  <c r="B37" i="7"/>
  <c r="B24" i="7"/>
  <c r="B21" i="7"/>
  <c r="B20" i="7"/>
  <c r="B14" i="7"/>
  <c r="B6" i="7"/>
  <c r="B32" i="7"/>
  <c r="B28" i="7"/>
  <c r="B25" i="7"/>
  <c r="B31" i="7"/>
  <c r="B43" i="7" l="1"/>
  <c r="B7" i="7"/>
  <c r="B51" i="7" l="1"/>
  <c r="B19" i="7"/>
  <c r="B18" i="7"/>
  <c r="B38" i="7" s="1"/>
  <c r="B49" i="7"/>
  <c r="B48" i="7"/>
  <c r="B29" i="7" l="1"/>
  <c r="C47" i="7"/>
  <c r="B39" i="7"/>
  <c r="B33" i="7"/>
  <c r="E19" i="7" l="1"/>
  <c r="J60" i="4" l="1"/>
  <c r="T73" i="4"/>
  <c r="T62" i="4"/>
  <c r="J62" i="4"/>
  <c r="I51" i="4"/>
  <c r="J54" i="4"/>
  <c r="J53" i="4"/>
  <c r="J52" i="4"/>
  <c r="J49" i="4"/>
  <c r="J44" i="4"/>
  <c r="T29" i="4"/>
  <c r="J34" i="4"/>
  <c r="J33" i="4"/>
  <c r="J7" i="4"/>
  <c r="J13" i="4" s="1"/>
  <c r="J6" i="4"/>
  <c r="J5" i="4"/>
  <c r="J55" i="4" l="1"/>
  <c r="T74" i="4"/>
  <c r="J63" i="4"/>
  <c r="T67" i="4" s="1"/>
  <c r="J16" i="4"/>
  <c r="J21" i="4"/>
  <c r="T79" i="4"/>
  <c r="B47" i="7" l="1"/>
  <c r="J48" i="4"/>
  <c r="J23" i="4"/>
  <c r="J24" i="4"/>
  <c r="I54" i="4"/>
  <c r="H54" i="4"/>
  <c r="G54" i="4"/>
  <c r="H53" i="4"/>
  <c r="G53" i="4"/>
  <c r="I43" i="4"/>
  <c r="I42" i="4"/>
  <c r="I41" i="4"/>
  <c r="I39" i="4"/>
  <c r="I40" i="4"/>
  <c r="I53" i="4" s="1"/>
  <c r="J29" i="4" l="1"/>
  <c r="J25" i="4"/>
  <c r="B29" i="6" l="1"/>
  <c r="L19" i="6" l="1"/>
  <c r="L18" i="6"/>
  <c r="L15" i="6"/>
  <c r="L14" i="6"/>
  <c r="L11" i="6"/>
  <c r="L10" i="6"/>
  <c r="L7" i="6"/>
  <c r="L6" i="6"/>
  <c r="K7" i="6"/>
  <c r="J11" i="6"/>
  <c r="J10" i="6"/>
  <c r="I16" i="6"/>
  <c r="J7" i="6"/>
  <c r="J6" i="6"/>
  <c r="I6" i="6"/>
  <c r="I7" i="6"/>
  <c r="B20" i="6"/>
  <c r="B19" i="6"/>
  <c r="B17" i="6"/>
  <c r="B16" i="6"/>
  <c r="B14" i="6"/>
  <c r="B7" i="6"/>
  <c r="H50" i="4"/>
  <c r="I50" i="4"/>
  <c r="G50" i="4"/>
  <c r="H51" i="4"/>
  <c r="G51" i="4"/>
  <c r="H34" i="4" l="1"/>
  <c r="H62" i="4"/>
  <c r="I62" i="4"/>
  <c r="G62" i="4"/>
  <c r="H6" i="4" l="1"/>
  <c r="G44" i="4" l="1"/>
  <c r="I44" i="4"/>
  <c r="H44" i="4"/>
  <c r="I42" i="6" l="1"/>
  <c r="I31" i="6"/>
  <c r="I29" i="6"/>
  <c r="I26" i="6"/>
  <c r="I44" i="6" l="1"/>
  <c r="I43" i="6"/>
  <c r="I27" i="6"/>
  <c r="T72" i="4"/>
  <c r="H60" i="4"/>
  <c r="I63" i="4"/>
  <c r="T65" i="4" l="1"/>
  <c r="I34" i="4"/>
  <c r="I33" i="4"/>
  <c r="I6" i="4"/>
  <c r="I5" i="4"/>
  <c r="T41" i="4" l="1"/>
  <c r="T6" i="4"/>
  <c r="T10" i="4"/>
  <c r="T15" i="4"/>
  <c r="I49" i="6" l="1"/>
  <c r="I40" i="6"/>
  <c r="I41" i="6"/>
  <c r="T63" i="4"/>
  <c r="T66" i="4" s="1"/>
  <c r="T68" i="4"/>
  <c r="T56" i="4"/>
  <c r="T71" i="4"/>
  <c r="T70" i="4"/>
  <c r="T11" i="4"/>
  <c r="T69" i="4" s="1"/>
  <c r="T55" i="4"/>
  <c r="T12" i="4" s="1"/>
  <c r="T49" i="4"/>
  <c r="I33" i="6" l="1"/>
  <c r="I35" i="6"/>
  <c r="I7" i="4" l="1"/>
  <c r="I13" i="4" l="1"/>
  <c r="J14" i="4" s="1"/>
  <c r="T75" i="4"/>
  <c r="T76" i="4" l="1"/>
  <c r="I46" i="6"/>
  <c r="I16" i="4"/>
  <c r="I21" i="4"/>
  <c r="I23" i="4" s="1"/>
  <c r="S73" i="4"/>
  <c r="R73" i="4"/>
  <c r="Q73" i="4"/>
  <c r="P73" i="4"/>
  <c r="O73" i="4"/>
  <c r="I55" i="4" l="1"/>
  <c r="I24" i="4"/>
  <c r="H5" i="4"/>
  <c r="G5" i="4"/>
  <c r="F5" i="4"/>
  <c r="E5" i="4"/>
  <c r="D5" i="4"/>
  <c r="I29" i="4" l="1"/>
  <c r="J30" i="4" s="1"/>
  <c r="I25" i="4"/>
  <c r="D27" i="6" l="1"/>
  <c r="E27" i="6"/>
  <c r="C27" i="6"/>
  <c r="F21" i="7"/>
  <c r="F20" i="7"/>
  <c r="D13" i="7" l="1"/>
  <c r="H13" i="7"/>
  <c r="B27" i="7"/>
  <c r="I19" i="6"/>
  <c r="I18" i="6"/>
  <c r="I15" i="6"/>
  <c r="I14" i="6"/>
  <c r="I13" i="6"/>
  <c r="I12" i="6"/>
  <c r="C7" i="6"/>
  <c r="D7" i="6"/>
  <c r="E7" i="6"/>
  <c r="J8" i="6"/>
  <c r="K8" i="6"/>
  <c r="L8" i="6"/>
  <c r="J46" i="6"/>
  <c r="J9" i="6"/>
  <c r="K9" i="6"/>
  <c r="L9" i="6"/>
  <c r="C14" i="6"/>
  <c r="D9" i="7" s="1"/>
  <c r="E14" i="6"/>
  <c r="H9" i="7" s="1"/>
  <c r="J29" i="6"/>
  <c r="J20" i="6"/>
  <c r="J48" i="6" s="1"/>
  <c r="K20" i="6"/>
  <c r="K48" i="6" s="1"/>
  <c r="L20" i="6"/>
  <c r="L48" i="6" s="1"/>
  <c r="J27" i="6"/>
  <c r="L29" i="6"/>
  <c r="J32" i="6"/>
  <c r="J34" i="6" s="1"/>
  <c r="K32" i="6"/>
  <c r="K34" i="6" s="1"/>
  <c r="L32" i="6"/>
  <c r="L34" i="6" s="1"/>
  <c r="J33" i="6"/>
  <c r="K33" i="6"/>
  <c r="L33" i="6"/>
  <c r="J37" i="6"/>
  <c r="K37" i="6"/>
  <c r="L37" i="6"/>
  <c r="J43" i="6"/>
  <c r="K43" i="6"/>
  <c r="L43" i="6"/>
  <c r="J44" i="6"/>
  <c r="K44" i="6"/>
  <c r="L44" i="6"/>
  <c r="L45" i="6"/>
  <c r="L46" i="6"/>
  <c r="J39" i="6"/>
  <c r="K39" i="6"/>
  <c r="L39" i="6"/>
  <c r="J50" i="6"/>
  <c r="K50" i="6"/>
  <c r="L50" i="6"/>
  <c r="K38" i="6" l="1"/>
  <c r="J38" i="6"/>
  <c r="L40" i="6"/>
  <c r="L49" i="6"/>
  <c r="K40" i="6"/>
  <c r="K49" i="6"/>
  <c r="L38" i="6"/>
  <c r="J28" i="6"/>
  <c r="J30" i="6" s="1"/>
  <c r="J49" i="6"/>
  <c r="L28" i="6"/>
  <c r="L35" i="6"/>
  <c r="K35" i="6"/>
  <c r="J35" i="6"/>
  <c r="K41" i="6"/>
  <c r="F10" i="7"/>
  <c r="F13" i="7"/>
  <c r="I32" i="6"/>
  <c r="J45" i="6"/>
  <c r="H10" i="7"/>
  <c r="D10" i="7"/>
  <c r="I8" i="6"/>
  <c r="K29" i="6"/>
  <c r="J40" i="6"/>
  <c r="D14" i="6"/>
  <c r="F9" i="7" s="1"/>
  <c r="K45" i="6"/>
  <c r="L30" i="6"/>
  <c r="H19" i="7"/>
  <c r="D19" i="7"/>
  <c r="L47" i="6"/>
  <c r="K28" i="6"/>
  <c r="I19" i="7"/>
  <c r="F19" i="7"/>
  <c r="K46" i="6"/>
  <c r="L41" i="6"/>
  <c r="J41" i="6"/>
  <c r="L36" i="6" l="1"/>
  <c r="J36" i="6"/>
  <c r="J47" i="6"/>
  <c r="K47" i="6"/>
  <c r="K30" i="6"/>
  <c r="I10" i="7"/>
  <c r="I13" i="7"/>
  <c r="K36" i="6" l="1"/>
  <c r="D54" i="4"/>
  <c r="R29" i="4" l="1"/>
  <c r="C22" i="4" l="1"/>
  <c r="S72" i="4"/>
  <c r="I10" i="6" l="1"/>
  <c r="I39" i="6" s="1"/>
  <c r="B42" i="7" s="1"/>
  <c r="S29" i="4"/>
  <c r="P15" i="4"/>
  <c r="Q15" i="4"/>
  <c r="R15" i="4"/>
  <c r="S15" i="4"/>
  <c r="O15" i="4"/>
  <c r="H33" i="4"/>
  <c r="H7" i="4"/>
  <c r="I5" i="6" l="1"/>
  <c r="I34" i="6"/>
  <c r="I28" i="6"/>
  <c r="I11" i="6"/>
  <c r="I17" i="6"/>
  <c r="H13" i="4"/>
  <c r="S74" i="4"/>
  <c r="S75" i="4"/>
  <c r="I48" i="6" l="1"/>
  <c r="I30" i="6"/>
  <c r="I20" i="6"/>
  <c r="I9" i="6"/>
  <c r="H21" i="4"/>
  <c r="H55" i="4" s="1"/>
  <c r="I14" i="4"/>
  <c r="B44" i="7"/>
  <c r="H16" i="4"/>
  <c r="S62" i="4" l="1"/>
  <c r="D22" i="4"/>
  <c r="Q29" i="4"/>
  <c r="P29" i="4"/>
  <c r="N75" i="4" l="1"/>
  <c r="O75" i="4"/>
  <c r="P75" i="4"/>
  <c r="O74" i="4"/>
  <c r="P74" i="4"/>
  <c r="S65" i="4"/>
  <c r="N41" i="4"/>
  <c r="O41" i="4"/>
  <c r="P41" i="4"/>
  <c r="Q41" i="4"/>
  <c r="R41" i="4"/>
  <c r="N29" i="4"/>
  <c r="O29" i="4"/>
  <c r="O55" i="4" s="1"/>
  <c r="P55" i="4"/>
  <c r="N10" i="4"/>
  <c r="O10" i="4"/>
  <c r="P10" i="4"/>
  <c r="Q10" i="4"/>
  <c r="G61" i="4" s="1"/>
  <c r="R10" i="4"/>
  <c r="N6" i="4"/>
  <c r="N11" i="4" s="1"/>
  <c r="O6" i="4"/>
  <c r="O11" i="4" s="1"/>
  <c r="P6" i="4"/>
  <c r="P11" i="4" s="1"/>
  <c r="Q6" i="4"/>
  <c r="Q11" i="4" s="1"/>
  <c r="R6" i="4"/>
  <c r="R11" i="4" s="1"/>
  <c r="C7" i="4"/>
  <c r="C13" i="4" s="1"/>
  <c r="D7" i="4"/>
  <c r="D13" i="4" s="1"/>
  <c r="E7" i="4"/>
  <c r="E13" i="4" s="1"/>
  <c r="Q56" i="4" l="1"/>
  <c r="R56" i="4"/>
  <c r="E16" i="4"/>
  <c r="P69" i="4"/>
  <c r="E21" i="4"/>
  <c r="D16" i="4"/>
  <c r="D21" i="4"/>
  <c r="C16" i="4"/>
  <c r="C21" i="4"/>
  <c r="S76" i="4"/>
  <c r="N49" i="4"/>
  <c r="P49" i="4"/>
  <c r="O56" i="4"/>
  <c r="O79" i="4"/>
  <c r="P79" i="4"/>
  <c r="O49" i="4"/>
  <c r="P56" i="4"/>
  <c r="N56" i="4"/>
  <c r="P76" i="4"/>
  <c r="O76" i="4"/>
  <c r="M29" i="4"/>
  <c r="P77" i="4" l="1"/>
  <c r="O77" i="4"/>
  <c r="D51" i="4"/>
  <c r="E25" i="4"/>
  <c r="D14" i="4"/>
  <c r="D23" i="4"/>
  <c r="E14" i="4"/>
  <c r="C24" i="4"/>
  <c r="C25" i="4" s="1"/>
  <c r="C23" i="4"/>
  <c r="N73" i="4"/>
  <c r="D62" i="4"/>
  <c r="C62" i="4"/>
  <c r="B62" i="4"/>
  <c r="N74" i="4"/>
  <c r="G60" i="4"/>
  <c r="D60" i="4"/>
  <c r="C60" i="4"/>
  <c r="B60" i="4"/>
  <c r="R72" i="4"/>
  <c r="Q72" i="4"/>
  <c r="P72" i="4"/>
  <c r="O72" i="4"/>
  <c r="N72" i="4"/>
  <c r="M72" i="4"/>
  <c r="C54" i="4"/>
  <c r="D52" i="4"/>
  <c r="C52" i="4"/>
  <c r="B52" i="4"/>
  <c r="D50" i="4"/>
  <c r="C50" i="4"/>
  <c r="B50" i="4"/>
  <c r="D49" i="4"/>
  <c r="C49" i="4"/>
  <c r="B49" i="4"/>
  <c r="R62" i="4"/>
  <c r="R65" i="4" s="1"/>
  <c r="Q62" i="4"/>
  <c r="Q65" i="4" s="1"/>
  <c r="P62" i="4"/>
  <c r="P65" i="4" s="1"/>
  <c r="O62" i="4"/>
  <c r="O65" i="4" s="1"/>
  <c r="N62" i="4"/>
  <c r="N65" i="4" s="1"/>
  <c r="M62" i="4"/>
  <c r="M65" i="4" s="1"/>
  <c r="D43" i="4"/>
  <c r="D44" i="4" s="1"/>
  <c r="C43" i="4"/>
  <c r="C44" i="4" s="1"/>
  <c r="B43" i="4"/>
  <c r="B44" i="4" s="1"/>
  <c r="G33" i="4"/>
  <c r="F33" i="4"/>
  <c r="E33" i="4"/>
  <c r="D33" i="4"/>
  <c r="C33" i="4"/>
  <c r="M41" i="4"/>
  <c r="M55" i="4"/>
  <c r="P78" i="4"/>
  <c r="M10" i="4"/>
  <c r="B7" i="4"/>
  <c r="B13" i="4" s="1"/>
  <c r="B16" i="4" s="1"/>
  <c r="R63" i="4"/>
  <c r="R66" i="4" s="1"/>
  <c r="Q63" i="4"/>
  <c r="Q66" i="4" s="1"/>
  <c r="P63" i="4"/>
  <c r="P66" i="4" s="1"/>
  <c r="O63" i="4"/>
  <c r="O66" i="4" s="1"/>
  <c r="N63" i="4"/>
  <c r="N66" i="4" s="1"/>
  <c r="M6" i="4"/>
  <c r="M11" i="4" s="1"/>
  <c r="S6" i="4"/>
  <c r="S11" i="4" s="1"/>
  <c r="S79" i="4" l="1"/>
  <c r="E23" i="4"/>
  <c r="H23" i="4"/>
  <c r="R49" i="4"/>
  <c r="R55" i="4"/>
  <c r="R12" i="4" s="1"/>
  <c r="Q49" i="4"/>
  <c r="Q55" i="4"/>
  <c r="D24" i="4"/>
  <c r="S55" i="4"/>
  <c r="M56" i="4"/>
  <c r="C5" i="4"/>
  <c r="Q74" i="4"/>
  <c r="F7" i="4"/>
  <c r="Q75" i="4"/>
  <c r="R75" i="4"/>
  <c r="R74" i="4"/>
  <c r="G7" i="4"/>
  <c r="S10" i="4"/>
  <c r="S41" i="4"/>
  <c r="B21" i="4"/>
  <c r="B24" i="4" s="1"/>
  <c r="B25" i="4" s="1"/>
  <c r="E29" i="4"/>
  <c r="P68" i="4"/>
  <c r="C29" i="4"/>
  <c r="N68" i="4"/>
  <c r="C61" i="4"/>
  <c r="C63" i="4" s="1"/>
  <c r="N67" i="4" s="1"/>
  <c r="N78" i="4"/>
  <c r="G63" i="4"/>
  <c r="O69" i="4"/>
  <c r="M49" i="4"/>
  <c r="C51" i="4" s="1"/>
  <c r="M63" i="4"/>
  <c r="M66" i="4" s="1"/>
  <c r="N76" i="4"/>
  <c r="M12" i="4"/>
  <c r="O12" i="4"/>
  <c r="S63" i="4"/>
  <c r="S66" i="4" s="1"/>
  <c r="B61" i="4"/>
  <c r="B63" i="4" s="1"/>
  <c r="M70" i="4"/>
  <c r="O78" i="4"/>
  <c r="D61" i="4"/>
  <c r="O70" i="4"/>
  <c r="Q78" i="4"/>
  <c r="Q70" i="4"/>
  <c r="N55" i="4"/>
  <c r="N12" i="4" s="1"/>
  <c r="P12" i="4"/>
  <c r="P70" i="4"/>
  <c r="M71" i="4"/>
  <c r="Q71" i="4"/>
  <c r="N71" i="4"/>
  <c r="P71" i="4"/>
  <c r="R71" i="4"/>
  <c r="N70" i="4"/>
  <c r="R70" i="4"/>
  <c r="O71" i="4"/>
  <c r="S56" i="4" l="1"/>
  <c r="R77" i="4"/>
  <c r="Q77" i="4"/>
  <c r="O68" i="4"/>
  <c r="D25" i="4"/>
  <c r="G13" i="4"/>
  <c r="R69" i="4" s="1"/>
  <c r="F13" i="4"/>
  <c r="S12" i="4"/>
  <c r="D29" i="4"/>
  <c r="M67" i="4"/>
  <c r="Q76" i="4"/>
  <c r="S70" i="4"/>
  <c r="R76" i="4"/>
  <c r="H24" i="4"/>
  <c r="S71" i="4"/>
  <c r="S49" i="4"/>
  <c r="P67" i="4"/>
  <c r="D63" i="4"/>
  <c r="O67" i="4" s="1"/>
  <c r="H63" i="4"/>
  <c r="S67" i="4" s="1"/>
  <c r="C48" i="4"/>
  <c r="C14" i="4"/>
  <c r="D48" i="4"/>
  <c r="B29" i="4"/>
  <c r="N77" i="4"/>
  <c r="Q12" i="4"/>
  <c r="M69" i="4"/>
  <c r="B48" i="4"/>
  <c r="B53" i="4" s="1"/>
  <c r="B55" i="4" s="1"/>
  <c r="B23" i="4"/>
  <c r="S69" i="4"/>
  <c r="N69" i="4"/>
  <c r="R67" i="4" l="1"/>
  <c r="G21" i="4"/>
  <c r="J15" i="4"/>
  <c r="I15" i="4"/>
  <c r="H15" i="4"/>
  <c r="H25" i="4"/>
  <c r="H14" i="4"/>
  <c r="S77" i="4"/>
  <c r="T77" i="4"/>
  <c r="G14" i="4"/>
  <c r="Q67" i="4"/>
  <c r="F16" i="4"/>
  <c r="F21" i="4"/>
  <c r="F23" i="4" s="1"/>
  <c r="G16" i="4"/>
  <c r="G24" i="4"/>
  <c r="F14" i="4"/>
  <c r="Q79" i="4"/>
  <c r="Q69" i="4"/>
  <c r="R79" i="4"/>
  <c r="H29" i="4"/>
  <c r="S68" i="4"/>
  <c r="D53" i="4"/>
  <c r="D55" i="4" s="1"/>
  <c r="C53" i="4"/>
  <c r="C55" i="4" s="1"/>
  <c r="M68" i="4"/>
  <c r="G25" i="4" l="1"/>
  <c r="J26" i="4"/>
  <c r="I30" i="4"/>
  <c r="F24" i="4"/>
  <c r="G23" i="4"/>
  <c r="G55" i="4"/>
  <c r="R68" i="4"/>
  <c r="G29" i="4"/>
  <c r="D30" i="4"/>
  <c r="C30" i="4"/>
  <c r="H30" i="4" l="1"/>
  <c r="J31" i="4"/>
  <c r="Q68" i="4"/>
  <c r="H26" i="4"/>
  <c r="F29" i="4"/>
  <c r="F25" i="4"/>
  <c r="I26" i="4"/>
  <c r="E30" i="4"/>
  <c r="F30" i="4" l="1"/>
  <c r="H31" i="4"/>
  <c r="G30" i="4"/>
  <c r="I31" i="4"/>
  <c r="I36" i="6" l="1"/>
  <c r="C46" i="7"/>
  <c r="C45" i="7"/>
  <c r="B34" i="7"/>
  <c r="C10" i="7"/>
  <c r="C8" i="7"/>
  <c r="B10" i="7"/>
  <c r="I45" i="6" l="1"/>
  <c r="I47" i="6" s="1"/>
  <c r="C34" i="7"/>
  <c r="C41" i="7"/>
  <c r="B9" i="7"/>
  <c r="B8" i="7"/>
  <c r="B45" i="7"/>
  <c r="B46" i="7"/>
  <c r="B50" i="7"/>
  <c r="C50" i="7" l="1"/>
  <c r="I50" i="6"/>
  <c r="C40" i="7"/>
  <c r="B23" i="6"/>
  <c r="B41" i="7"/>
  <c r="I38" i="6"/>
  <c r="B22" i="6"/>
  <c r="C13" i="7"/>
  <c r="C11" i="7"/>
  <c r="B12" i="7" l="1"/>
  <c r="B11" i="7"/>
  <c r="B13" i="7" s="1"/>
  <c r="B40" i="7"/>
  <c r="B26" i="6"/>
  <c r="B27" i="6"/>
  <c r="I37" i="6"/>
  <c r="B25" i="6"/>
  <c r="C30" i="5" l="1"/>
  <c r="C31" i="5" l="1"/>
  <c r="D31" i="5"/>
</calcChain>
</file>

<file path=xl/sharedStrings.xml><?xml version="1.0" encoding="utf-8"?>
<sst xmlns="http://schemas.openxmlformats.org/spreadsheetml/2006/main" count="531" uniqueCount="241">
  <si>
    <t>Y/E, Mar (Rs. mn)</t>
  </si>
  <si>
    <t>Income</t>
  </si>
  <si>
    <t>Growth (%)</t>
  </si>
  <si>
    <t>Expenditure</t>
  </si>
  <si>
    <t>EBITDA</t>
  </si>
  <si>
    <t>EBITDA margin (%)</t>
  </si>
  <si>
    <t>Other Income</t>
  </si>
  <si>
    <t>Depreciation</t>
  </si>
  <si>
    <t>Interest</t>
  </si>
  <si>
    <t>Excp Item</t>
  </si>
  <si>
    <t>PBT</t>
  </si>
  <si>
    <t>Tax</t>
  </si>
  <si>
    <t>Effective tax rate (%)</t>
  </si>
  <si>
    <t>PAT</t>
  </si>
  <si>
    <t>Minority Interest</t>
  </si>
  <si>
    <t>PAT After MI</t>
  </si>
  <si>
    <t>EPS</t>
  </si>
  <si>
    <t>Cash and Cash Equivalents at Beginning of the year</t>
  </si>
  <si>
    <t>Cash Flow From Operating Activities</t>
  </si>
  <si>
    <t>Cash Flow From Financing Activities</t>
  </si>
  <si>
    <t>Net Inc./(Dec.) in Cash and Cash Equivalent</t>
  </si>
  <si>
    <t>Our Calculations</t>
  </si>
  <si>
    <t xml:space="preserve">Pre-Tax Profit </t>
  </si>
  <si>
    <t xml:space="preserve">Depreciation </t>
  </si>
  <si>
    <t xml:space="preserve">Other Adjustments </t>
  </si>
  <si>
    <t xml:space="preserve">Change in Working capital </t>
  </si>
  <si>
    <t xml:space="preserve">Taxes Paid </t>
  </si>
  <si>
    <t xml:space="preserve">Operating Cash Inflow </t>
  </si>
  <si>
    <t>Capital Expenditure</t>
  </si>
  <si>
    <t>FCF</t>
  </si>
  <si>
    <t xml:space="preserve"> </t>
  </si>
  <si>
    <t>FY13</t>
  </si>
  <si>
    <t>FY14</t>
  </si>
  <si>
    <t>FY15</t>
  </si>
  <si>
    <t>FY16</t>
  </si>
  <si>
    <t>FY17</t>
  </si>
  <si>
    <t>Share Capital</t>
  </si>
  <si>
    <t>Reserves &amp; Surplus</t>
  </si>
  <si>
    <t>Networth/Shareholders Fund/ Book Value</t>
  </si>
  <si>
    <t>Minority Int</t>
  </si>
  <si>
    <t>Long Term Debt</t>
  </si>
  <si>
    <t>Short Term Debt</t>
  </si>
  <si>
    <t>Loans</t>
  </si>
  <si>
    <t>Capital Employed</t>
  </si>
  <si>
    <t>CURRENT ASSETS, LOANS &amp; ADVANCES</t>
  </si>
  <si>
    <t>Inventories</t>
  </si>
  <si>
    <t>CURRENT LIABILITIES &amp; PROVISIONS</t>
  </si>
  <si>
    <t>NET CURRENT ASSETS</t>
  </si>
  <si>
    <t>Deferred Tax Liability</t>
  </si>
  <si>
    <t>Key ratios</t>
  </si>
  <si>
    <t xml:space="preserve">Y/E, Mar </t>
  </si>
  <si>
    <t>CMP(Rs)</t>
  </si>
  <si>
    <t>EPS (Rs)</t>
  </si>
  <si>
    <t>BVPS (Rs)</t>
  </si>
  <si>
    <t>DPS (Rs)</t>
  </si>
  <si>
    <t>P/E (x)</t>
  </si>
  <si>
    <t>P/BV (x)</t>
  </si>
  <si>
    <t>EV/EBIDTA (x)</t>
  </si>
  <si>
    <t>RoE (%)</t>
  </si>
  <si>
    <t>RoCE (%)</t>
  </si>
  <si>
    <t>Gross D/E(x)</t>
  </si>
  <si>
    <t>Net D/E (x)</t>
  </si>
  <si>
    <t>Dividend Yield</t>
  </si>
  <si>
    <t>Debtor Days</t>
  </si>
  <si>
    <t>Creditor Days</t>
  </si>
  <si>
    <t>Inventory Days</t>
  </si>
  <si>
    <t>Working Capital Days</t>
  </si>
  <si>
    <t>Employee Benefit Expense</t>
  </si>
  <si>
    <t>Other Expenses</t>
  </si>
  <si>
    <t>Other Comprehensive Income</t>
  </si>
  <si>
    <t>Short term Provisions</t>
  </si>
  <si>
    <t>Long term Provision</t>
  </si>
  <si>
    <t>Cash and Cash Equivalents at End of the year</t>
  </si>
  <si>
    <t>No. of Shares</t>
  </si>
  <si>
    <t>Market Cap</t>
  </si>
  <si>
    <t>Cash</t>
  </si>
  <si>
    <t>EV</t>
  </si>
  <si>
    <t>Total Debt</t>
  </si>
  <si>
    <t>Other Current liabilities</t>
  </si>
  <si>
    <t>Cash Flow from Investing Activities</t>
  </si>
  <si>
    <t>PAT margin (%)</t>
  </si>
  <si>
    <t>Cash Conversion cycle</t>
  </si>
  <si>
    <t>Trade Payables</t>
  </si>
  <si>
    <t>Other Financial liabilities</t>
  </si>
  <si>
    <t>Other financial liabilities</t>
  </si>
  <si>
    <t>FY18</t>
  </si>
  <si>
    <t>Interest Cost</t>
  </si>
  <si>
    <t>Gross Block</t>
  </si>
  <si>
    <t>TOTAL ASSETS</t>
  </si>
  <si>
    <t>TOTAL LIABILITIES</t>
  </si>
  <si>
    <t>FY19</t>
  </si>
  <si>
    <t>Property, plant and equipment</t>
  </si>
  <si>
    <t>Financial assets</t>
  </si>
  <si>
    <t>Other non-current assets</t>
  </si>
  <si>
    <t>(i) Trade Receivable</t>
  </si>
  <si>
    <t>Current Tax Liabilities (Net)</t>
  </si>
  <si>
    <t>Property, plant &amp; equipment</t>
  </si>
  <si>
    <t>Other Current Assets</t>
  </si>
  <si>
    <t>Interest Coverage</t>
  </si>
  <si>
    <t>Standalone - Income Statement</t>
  </si>
  <si>
    <t>Standalone - Balance Sheet</t>
  </si>
  <si>
    <t>Key Ratios</t>
  </si>
  <si>
    <t>NON-CURRENT ASSETS</t>
  </si>
  <si>
    <t>Cash Flow Statement</t>
  </si>
  <si>
    <t>Consolidated Income Statement</t>
  </si>
  <si>
    <t>Consolidated Balance Sheet</t>
  </si>
  <si>
    <t>Interest Coverage (x)</t>
  </si>
  <si>
    <t>Total Income</t>
  </si>
  <si>
    <t>CAGR (%) - 3 Years</t>
  </si>
  <si>
    <t>Interest Coverage Ratio</t>
  </si>
  <si>
    <t>Asset T/O ratio</t>
  </si>
  <si>
    <t>DPS</t>
  </si>
  <si>
    <t>CAGR 3 YRS</t>
  </si>
  <si>
    <t>Trade Payables 2019</t>
  </si>
  <si>
    <t>Current Liabilites</t>
  </si>
  <si>
    <t>Cash &amp; Bank Balances</t>
  </si>
  <si>
    <t>Sundry Debtors 2019</t>
  </si>
  <si>
    <t>Inventories 2018</t>
  </si>
  <si>
    <t>Inventories 2019</t>
  </si>
  <si>
    <t>Current Asset</t>
  </si>
  <si>
    <t>Non Current Asset</t>
  </si>
  <si>
    <t>Change in Inventories</t>
  </si>
  <si>
    <t>Purchase</t>
  </si>
  <si>
    <t>Net Worth</t>
  </si>
  <si>
    <t>Balance Sheet</t>
  </si>
  <si>
    <t>Income Statement</t>
  </si>
  <si>
    <t>Interest Cost (%)</t>
  </si>
  <si>
    <t>Net Debt/Equity</t>
  </si>
  <si>
    <t>Gross Debt/Equity</t>
  </si>
  <si>
    <t>Cash Conversion Cycle</t>
  </si>
  <si>
    <t>Payable days</t>
  </si>
  <si>
    <t>Receivable days</t>
  </si>
  <si>
    <t>Fixed Asset Turnover</t>
  </si>
  <si>
    <t>ROCE</t>
  </si>
  <si>
    <t>ROE</t>
  </si>
  <si>
    <t>Book Value per Share</t>
  </si>
  <si>
    <t>OPERATIONAL RATIOS COMPARISION</t>
  </si>
  <si>
    <t>EV/ EBITDA</t>
  </si>
  <si>
    <t>Price:Book Value</t>
  </si>
  <si>
    <t>Stock P:E</t>
  </si>
  <si>
    <t>Enterprise Value</t>
  </si>
  <si>
    <t>CFO</t>
  </si>
  <si>
    <t>Cash Flow</t>
  </si>
  <si>
    <t>Short Term</t>
  </si>
  <si>
    <t>Long Term</t>
  </si>
  <si>
    <t>Total Networth</t>
  </si>
  <si>
    <t>Balance Sheet Comparision</t>
  </si>
  <si>
    <t>PAT Margin (%)</t>
  </si>
  <si>
    <t>3 Years CAGR (%)</t>
  </si>
  <si>
    <t>EBITDA Margin (%)</t>
  </si>
  <si>
    <t>P&amp;L Comparision</t>
  </si>
  <si>
    <t>INR Mn</t>
  </si>
  <si>
    <t>Book Value</t>
  </si>
  <si>
    <t>Share of expenses from producing oil&amp;gas blocks</t>
  </si>
  <si>
    <t>Royalty, Cess &amp; NCCD</t>
  </si>
  <si>
    <t xml:space="preserve">(Increase)/ Decrease in stock of crude oil </t>
  </si>
  <si>
    <t>Income Tax Assets (Net)</t>
  </si>
  <si>
    <t>(iii) Cash and cash equivalents</t>
  </si>
  <si>
    <t>(iv) Other bank balances</t>
  </si>
  <si>
    <t>Other current liabilities</t>
  </si>
  <si>
    <t>Share of profit of associate</t>
  </si>
  <si>
    <t>(ii) Trade Receivable</t>
  </si>
  <si>
    <t>Other non-current liabilities</t>
  </si>
  <si>
    <t>FY20</t>
  </si>
  <si>
    <t>Rs in Millions</t>
  </si>
  <si>
    <t>Q1FY21</t>
  </si>
  <si>
    <t>Other Intangible Assets</t>
  </si>
  <si>
    <t>Deferred Tax Asset</t>
  </si>
  <si>
    <t>Lease Liability</t>
  </si>
  <si>
    <t>Aarvi Encon Limited</t>
  </si>
  <si>
    <t>Intangible Assets Under Development</t>
  </si>
  <si>
    <t>Right of use Asset</t>
  </si>
  <si>
    <t>(i) Investments</t>
  </si>
  <si>
    <t>(ii)Loans</t>
  </si>
  <si>
    <t>(iii)Other Financial Assets</t>
  </si>
  <si>
    <t>(ii) Cash and cash equivalents</t>
  </si>
  <si>
    <t>(iii) Investments</t>
  </si>
  <si>
    <t>(v) Loans</t>
  </si>
  <si>
    <t>(vi) Other financial assets</t>
  </si>
  <si>
    <t>Peer Analysis Working - Aarvi Encon</t>
  </si>
  <si>
    <t>Aarvi Encon</t>
  </si>
  <si>
    <t>Ani Integrated Service</t>
  </si>
  <si>
    <t>Teamlease</t>
  </si>
  <si>
    <t>Quess corp</t>
  </si>
  <si>
    <t>EBITDA 2020</t>
  </si>
  <si>
    <t>Depreciation 2020</t>
  </si>
  <si>
    <t>Interest 2020</t>
  </si>
  <si>
    <t>PBT 2020</t>
  </si>
  <si>
    <t>PAT 2020</t>
  </si>
  <si>
    <t>EPS 2020</t>
  </si>
  <si>
    <t>Total Income 2020</t>
  </si>
  <si>
    <t>Peer Comparison Analysis - Aarvi Encon</t>
  </si>
  <si>
    <t>ANI Integrated Services</t>
  </si>
  <si>
    <t>Quess Corp</t>
  </si>
  <si>
    <t>Total Income 2017</t>
  </si>
  <si>
    <t>EBITDA 2017</t>
  </si>
  <si>
    <t>Depreciation 2017</t>
  </si>
  <si>
    <t>Interest 2017</t>
  </si>
  <si>
    <t>PBT 2017</t>
  </si>
  <si>
    <t>Sundry Debtors 2020</t>
  </si>
  <si>
    <t>Trade Payables 2020</t>
  </si>
  <si>
    <t>PAT 2017</t>
  </si>
  <si>
    <t>ANI Integrated Service</t>
  </si>
  <si>
    <t>-</t>
  </si>
  <si>
    <t>H1-FY21</t>
  </si>
  <si>
    <t>FY21
Consol</t>
  </si>
  <si>
    <t>H1-FY22</t>
  </si>
  <si>
    <t>CMP (As on 30.03.2021)</t>
  </si>
  <si>
    <t>NA</t>
  </si>
  <si>
    <t>FY23</t>
  </si>
  <si>
    <t>FY24</t>
  </si>
  <si>
    <t>TOTAL LIABILITIES AND EQUITY</t>
  </si>
  <si>
    <t>FY25</t>
  </si>
  <si>
    <t>FY26</t>
  </si>
  <si>
    <t xml:space="preserve">   </t>
  </si>
  <si>
    <t>NON CURRENT LIABILITIES</t>
  </si>
  <si>
    <t>Q1-FY27</t>
  </si>
  <si>
    <t>Cost of materials consumed</t>
  </si>
  <si>
    <t>Purchases of stock-in-trade</t>
  </si>
  <si>
    <t>Changes in inventorles of finished goods</t>
  </si>
  <si>
    <t>Suditi Industries Limited</t>
  </si>
  <si>
    <t>Capital work-in-progress</t>
  </si>
  <si>
    <t>Intangible assets</t>
  </si>
  <si>
    <t>Intangible assets under development</t>
  </si>
  <si>
    <t>Financial Assets</t>
  </si>
  <si>
    <t>Investments</t>
  </si>
  <si>
    <t>Others financial assets</t>
  </si>
  <si>
    <t>Deferred tax assets</t>
  </si>
  <si>
    <t xml:space="preserve">   (i) Other Investments</t>
  </si>
  <si>
    <t>(iv) Loans</t>
  </si>
  <si>
    <t>Current Tax Assets (Net</t>
  </si>
  <si>
    <t>Total assets</t>
  </si>
  <si>
    <t>Share warrants application money pending allotment</t>
  </si>
  <si>
    <t>Financial Liabilities</t>
  </si>
  <si>
    <t>Provisions</t>
  </si>
  <si>
    <t>Deferred tax liability</t>
  </si>
  <si>
    <t xml:space="preserve">Our Calculations </t>
  </si>
  <si>
    <t>Market Cap (INR MN)</t>
  </si>
  <si>
    <t>Y/E, Mar (Rs. Lakhs)</t>
  </si>
  <si>
    <t xml:space="preserve">Minority Int </t>
  </si>
  <si>
    <t>TTM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</si>
</sst>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7">
    <numFmt numFmtId="43" formatCode="_ * #,##0.00_ ;_ * \-#,##0.00_ ;_ * &quot;-&quot;??_ ;_ @_ "/>
    <numFmt numFmtId="164" formatCode="_(* #,##0_);_(* \(#,##0\);_(* &quot;-&quot;_);_(@_)"/>
    <numFmt numFmtId="165" formatCode="_(* #,##0.00_);_(* \(#,##0.00\);_(* &quot;-&quot;??_);_(@_)"/>
    <numFmt numFmtId="166" formatCode="0.0"/>
    <numFmt numFmtId="167" formatCode="0.0%"/>
    <numFmt numFmtId="168" formatCode="_ * #,##0.0_ ;_ * \-#,##0.0_ ;_ * &quot;-&quot;??_ ;_ @_ "/>
    <numFmt numFmtId="169" formatCode="#,##0;\(#,##0\)"/>
    <numFmt numFmtId="170" formatCode="#,##0.00;\(#,##0.00\)"/>
    <numFmt numFmtId="171" formatCode="#,##0.000000000000"/>
    <numFmt numFmtId="172" formatCode="#,##0.0;\(#,##0.0\)"/>
    <numFmt numFmtId="173" formatCode="_(* #,##0.0_);_(* \(#,##0.0\);_(* &quot;-&quot;??_);_(@_)"/>
    <numFmt numFmtId="174" formatCode="_(* #,##0_);_(* \(#,##0\);_(* &quot;-&quot;??_);_(@_)"/>
    <numFmt numFmtId="175" formatCode="_ * #,##0_ ;_ * \-#,##0_ ;_ * &quot;-&quot;??_ ;_ @_ "/>
    <numFmt numFmtId="176" formatCode="_(* #,##0.00_);_(* \(#,##0.00\);_(* &quot;-&quot;_);_(@_)"/>
    <numFmt numFmtId="177" formatCode="_ * #,##0.000_ ;_ * \-#,##0.000_ ;_ * &quot;-&quot;??_ ;_ @_ "/>
    <numFmt numFmtId="178" formatCode="#,##0.000"/>
    <numFmt numFmtId="179" formatCode="0.0000"/>
  </numFmts>
  <fonts count="34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color rgb="FFFFFFFF"/>
      <name val="Tahoma"/>
      <family val="2"/>
    </font>
    <font>
      <sz val="10"/>
      <color theme="1"/>
      <name val="Tahoma"/>
      <family val="2"/>
    </font>
    <font>
      <b/>
      <u/>
      <sz val="11"/>
      <color theme="1"/>
      <name val="Tahoma"/>
      <family val="2"/>
    </font>
    <font>
      <b/>
      <sz val="10"/>
      <color theme="1"/>
      <name val="Tahoma"/>
      <family val="2"/>
    </font>
    <font>
      <b/>
      <sz val="11"/>
      <color theme="1"/>
      <name val="Tahoma"/>
      <family val="2"/>
    </font>
    <font>
      <b/>
      <sz val="11"/>
      <name val="Tahoma"/>
      <family val="2"/>
    </font>
    <font>
      <b/>
      <sz val="10"/>
      <name val="Tahoma"/>
      <family val="2"/>
    </font>
    <font>
      <sz val="10"/>
      <name val="Tahoma"/>
      <family val="2"/>
    </font>
    <font>
      <i/>
      <sz val="10"/>
      <color theme="1"/>
      <name val="Tahoma"/>
      <family val="2"/>
    </font>
    <font>
      <i/>
      <sz val="10"/>
      <color rgb="FFFF0000"/>
      <name val="Tahoma"/>
      <family val="2"/>
    </font>
    <font>
      <sz val="10"/>
      <color rgb="FFFF0000"/>
      <name val="Tahoma"/>
      <family val="2"/>
    </font>
    <font>
      <b/>
      <sz val="10"/>
      <color rgb="FFFF0000"/>
      <name val="Tahoma"/>
      <family val="2"/>
    </font>
    <font>
      <i/>
      <sz val="10"/>
      <name val="Tahoma"/>
      <family val="2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2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8"/>
      <name val="Calibri"/>
      <family val="2"/>
      <scheme val="minor"/>
    </font>
    <font>
      <sz val="10"/>
      <color rgb="FF000000"/>
      <name val="MyFirstFont"/>
    </font>
    <font>
      <b/>
      <sz val="12"/>
      <color rgb="FFFFFFFF"/>
      <name val="Calibri"/>
      <family val="2"/>
    </font>
    <font>
      <sz val="12"/>
      <color theme="1"/>
      <name val="Calibri"/>
      <family val="2"/>
    </font>
    <font>
      <b/>
      <u/>
      <sz val="12"/>
      <color theme="1"/>
      <name val="Calibri"/>
      <family val="2"/>
    </font>
    <font>
      <b/>
      <sz val="12"/>
      <name val="Calibri"/>
      <family val="2"/>
    </font>
    <font>
      <b/>
      <sz val="12"/>
      <color theme="1"/>
      <name val="Calibri"/>
      <family val="2"/>
    </font>
    <font>
      <sz val="12"/>
      <name val="Calibri"/>
      <family val="2"/>
    </font>
    <font>
      <i/>
      <sz val="12"/>
      <color theme="1"/>
      <name val="Calibri"/>
      <family val="2"/>
    </font>
    <font>
      <i/>
      <sz val="12"/>
      <name val="Calibri"/>
      <family val="2"/>
    </font>
    <font>
      <sz val="12"/>
      <color rgb="FFFF0000"/>
      <name val="Calibri"/>
      <family val="2"/>
    </font>
    <font>
      <sz val="8"/>
      <color rgb="FF000000"/>
      <name val="Arial"/>
      <family val="2"/>
    </font>
    <font>
      <i/>
      <sz val="10"/>
      <color theme="1"/>
      <name val="Calibri"/>
      <family val="2"/>
    </font>
  </fonts>
  <fills count="14">
    <fill>
      <patternFill patternType="none"/>
    </fill>
    <fill>
      <patternFill patternType="gray125"/>
    </fill>
    <fill>
      <patternFill patternType="solid">
        <fgColor indexed="17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rgb="FFFFFFFF"/>
        <bgColor indexed="64"/>
      </patternFill>
    </fill>
  </fills>
  <borders count="3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rgb="FF000000"/>
      </left>
      <right/>
      <top/>
      <bottom/>
      <diagonal/>
    </border>
  </borders>
  <cellStyleXfs count="4">
    <xf numFmtId="0" fontId="0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390">
    <xf numFmtId="0" fontId="0" fillId="0" borderId="0" xfId="0"/>
    <xf numFmtId="0" fontId="3" fillId="0" borderId="0" xfId="0" applyFont="1"/>
    <xf numFmtId="0" fontId="7" fillId="3" borderId="1" xfId="0" applyFont="1" applyFill="1" applyBorder="1" applyAlignment="1">
      <alignment horizontal="center"/>
    </xf>
    <xf numFmtId="166" fontId="7" fillId="3" borderId="1" xfId="0" applyNumberFormat="1" applyFont="1" applyFill="1" applyBorder="1" applyAlignment="1">
      <alignment horizontal="center"/>
    </xf>
    <xf numFmtId="168" fontId="5" fillId="0" borderId="1" xfId="2" applyNumberFormat="1" applyFont="1" applyFill="1" applyBorder="1"/>
    <xf numFmtId="170" fontId="5" fillId="0" borderId="1" xfId="2" applyNumberFormat="1" applyFont="1" applyFill="1" applyBorder="1"/>
    <xf numFmtId="168" fontId="3" fillId="0" borderId="1" xfId="2" applyNumberFormat="1" applyFont="1" applyFill="1" applyBorder="1"/>
    <xf numFmtId="170" fontId="3" fillId="0" borderId="1" xfId="2" applyNumberFormat="1" applyFont="1" applyFill="1" applyBorder="1"/>
    <xf numFmtId="170" fontId="9" fillId="0" borderId="1" xfId="2" applyNumberFormat="1" applyFont="1" applyFill="1" applyBorder="1"/>
    <xf numFmtId="167" fontId="11" fillId="0" borderId="1" xfId="0" applyNumberFormat="1" applyFont="1" applyBorder="1"/>
    <xf numFmtId="10" fontId="10" fillId="0" borderId="1" xfId="0" applyNumberFormat="1" applyFont="1" applyBorder="1"/>
    <xf numFmtId="10" fontId="11" fillId="0" borderId="1" xfId="0" applyNumberFormat="1" applyFont="1" applyBorder="1"/>
    <xf numFmtId="168" fontId="9" fillId="0" borderId="1" xfId="2" applyNumberFormat="1" applyFont="1" applyFill="1" applyBorder="1"/>
    <xf numFmtId="171" fontId="3" fillId="0" borderId="0" xfId="0" applyNumberFormat="1" applyFont="1"/>
    <xf numFmtId="168" fontId="12" fillId="0" borderId="1" xfId="2" applyNumberFormat="1" applyFont="1" applyFill="1" applyBorder="1"/>
    <xf numFmtId="166" fontId="3" fillId="0" borderId="1" xfId="0" applyNumberFormat="1" applyFont="1" applyBorder="1"/>
    <xf numFmtId="167" fontId="10" fillId="0" borderId="1" xfId="0" applyNumberFormat="1" applyFont="1" applyBorder="1"/>
    <xf numFmtId="165" fontId="5" fillId="0" borderId="1" xfId="2" applyFont="1" applyFill="1" applyBorder="1"/>
    <xf numFmtId="0" fontId="12" fillId="0" borderId="0" xfId="0" applyFont="1"/>
    <xf numFmtId="0" fontId="5" fillId="0" borderId="0" xfId="0" applyFont="1"/>
    <xf numFmtId="168" fontId="8" fillId="0" borderId="0" xfId="2" applyNumberFormat="1" applyFont="1" applyFill="1" applyBorder="1"/>
    <xf numFmtId="165" fontId="8" fillId="0" borderId="0" xfId="2" applyFont="1" applyFill="1" applyBorder="1"/>
    <xf numFmtId="0" fontId="6" fillId="3" borderId="2" xfId="0" applyFont="1" applyFill="1" applyBorder="1" applyAlignment="1">
      <alignment horizontal="right"/>
    </xf>
    <xf numFmtId="0" fontId="6" fillId="3" borderId="2" xfId="0" applyFont="1" applyFill="1" applyBorder="1" applyAlignment="1">
      <alignment horizontal="center"/>
    </xf>
    <xf numFmtId="0" fontId="7" fillId="3" borderId="2" xfId="0" applyFont="1" applyFill="1" applyBorder="1" applyAlignment="1">
      <alignment horizontal="center"/>
    </xf>
    <xf numFmtId="165" fontId="3" fillId="0" borderId="1" xfId="2" applyFont="1" applyFill="1" applyBorder="1"/>
    <xf numFmtId="169" fontId="3" fillId="0" borderId="1" xfId="2" applyNumberFormat="1" applyFont="1" applyFill="1" applyBorder="1"/>
    <xf numFmtId="166" fontId="9" fillId="0" borderId="0" xfId="0" applyNumberFormat="1" applyFont="1"/>
    <xf numFmtId="0" fontId="9" fillId="0" borderId="0" xfId="0" applyFont="1"/>
    <xf numFmtId="1" fontId="3" fillId="0" borderId="0" xfId="0" applyNumberFormat="1" applyFont="1"/>
    <xf numFmtId="165" fontId="9" fillId="0" borderId="1" xfId="2" applyFont="1" applyFill="1" applyBorder="1"/>
    <xf numFmtId="0" fontId="6" fillId="3" borderId="6" xfId="0" applyFont="1" applyFill="1" applyBorder="1"/>
    <xf numFmtId="0" fontId="5" fillId="0" borderId="6" xfId="0" applyFont="1" applyBorder="1"/>
    <xf numFmtId="0" fontId="3" fillId="0" borderId="6" xfId="0" applyFont="1" applyBorder="1"/>
    <xf numFmtId="0" fontId="10" fillId="0" borderId="6" xfId="0" applyFont="1" applyBorder="1"/>
    <xf numFmtId="0" fontId="3" fillId="0" borderId="8" xfId="0" applyFont="1" applyBorder="1"/>
    <xf numFmtId="0" fontId="12" fillId="0" borderId="9" xfId="0" applyFont="1" applyBorder="1"/>
    <xf numFmtId="167" fontId="12" fillId="0" borderId="9" xfId="0" applyNumberFormat="1" applyFont="1" applyBorder="1"/>
    <xf numFmtId="167" fontId="3" fillId="0" borderId="9" xfId="0" applyNumberFormat="1" applyFont="1" applyBorder="1"/>
    <xf numFmtId="10" fontId="3" fillId="0" borderId="9" xfId="0" applyNumberFormat="1" applyFont="1" applyBorder="1"/>
    <xf numFmtId="0" fontId="3" fillId="0" borderId="6" xfId="0" applyFont="1" applyBorder="1" applyAlignment="1">
      <alignment horizontal="left" indent="1"/>
    </xf>
    <xf numFmtId="0" fontId="5" fillId="0" borderId="8" xfId="0" applyFont="1" applyBorder="1"/>
    <xf numFmtId="170" fontId="5" fillId="0" borderId="7" xfId="2" applyNumberFormat="1" applyFont="1" applyFill="1" applyBorder="1"/>
    <xf numFmtId="170" fontId="3" fillId="0" borderId="7" xfId="2" applyNumberFormat="1" applyFont="1" applyFill="1" applyBorder="1"/>
    <xf numFmtId="0" fontId="6" fillId="3" borderId="3" xfId="0" applyFont="1" applyFill="1" applyBorder="1"/>
    <xf numFmtId="0" fontId="7" fillId="3" borderId="4" xfId="0" applyFont="1" applyFill="1" applyBorder="1" applyAlignment="1">
      <alignment horizontal="center"/>
    </xf>
    <xf numFmtId="0" fontId="6" fillId="3" borderId="6" xfId="0" applyFont="1" applyFill="1" applyBorder="1" applyAlignment="1">
      <alignment horizontal="center"/>
    </xf>
    <xf numFmtId="0" fontId="6" fillId="3" borderId="11" xfId="0" applyFont="1" applyFill="1" applyBorder="1"/>
    <xf numFmtId="166" fontId="5" fillId="0" borderId="6" xfId="0" applyNumberFormat="1" applyFont="1" applyBorder="1"/>
    <xf numFmtId="166" fontId="3" fillId="0" borderId="6" xfId="0" applyNumberFormat="1" applyFont="1" applyBorder="1"/>
    <xf numFmtId="167" fontId="3" fillId="0" borderId="6" xfId="0" applyNumberFormat="1" applyFont="1" applyBorder="1"/>
    <xf numFmtId="0" fontId="9" fillId="0" borderId="6" xfId="0" applyFont="1" applyBorder="1"/>
    <xf numFmtId="0" fontId="6" fillId="3" borderId="1" xfId="0" applyFont="1" applyFill="1" applyBorder="1" applyAlignment="1">
      <alignment horizontal="center"/>
    </xf>
    <xf numFmtId="170" fontId="8" fillId="4" borderId="1" xfId="2" applyNumberFormat="1" applyFont="1" applyFill="1" applyBorder="1"/>
    <xf numFmtId="10" fontId="10" fillId="4" borderId="1" xfId="0" applyNumberFormat="1" applyFont="1" applyFill="1" applyBorder="1"/>
    <xf numFmtId="10" fontId="5" fillId="4" borderId="1" xfId="0" applyNumberFormat="1" applyFont="1" applyFill="1" applyBorder="1"/>
    <xf numFmtId="10" fontId="5" fillId="4" borderId="1" xfId="1" applyNumberFormat="1" applyFont="1" applyFill="1" applyBorder="1"/>
    <xf numFmtId="10" fontId="14" fillId="4" borderId="1" xfId="0" applyNumberFormat="1" applyFont="1" applyFill="1" applyBorder="1"/>
    <xf numFmtId="10" fontId="3" fillId="4" borderId="1" xfId="0" applyNumberFormat="1" applyFont="1" applyFill="1" applyBorder="1"/>
    <xf numFmtId="167" fontId="11" fillId="4" borderId="1" xfId="0" applyNumberFormat="1" applyFont="1" applyFill="1" applyBorder="1"/>
    <xf numFmtId="170" fontId="5" fillId="4" borderId="1" xfId="2" applyNumberFormat="1" applyFont="1" applyFill="1" applyBorder="1"/>
    <xf numFmtId="170" fontId="5" fillId="4" borderId="7" xfId="2" applyNumberFormat="1" applyFont="1" applyFill="1" applyBorder="1"/>
    <xf numFmtId="170" fontId="5" fillId="4" borderId="9" xfId="2" applyNumberFormat="1" applyFont="1" applyFill="1" applyBorder="1"/>
    <xf numFmtId="170" fontId="5" fillId="4" borderId="10" xfId="2" applyNumberFormat="1" applyFont="1" applyFill="1" applyBorder="1"/>
    <xf numFmtId="170" fontId="3" fillId="4" borderId="1" xfId="2" applyNumberFormat="1" applyFont="1" applyFill="1" applyBorder="1"/>
    <xf numFmtId="10" fontId="9" fillId="4" borderId="1" xfId="0" applyNumberFormat="1" applyFont="1" applyFill="1" applyBorder="1"/>
    <xf numFmtId="10" fontId="3" fillId="4" borderId="1" xfId="1" applyNumberFormat="1" applyFont="1" applyFill="1" applyBorder="1"/>
    <xf numFmtId="10" fontId="9" fillId="4" borderId="1" xfId="1" applyNumberFormat="1" applyFont="1" applyFill="1" applyBorder="1"/>
    <xf numFmtId="169" fontId="3" fillId="4" borderId="1" xfId="2" applyNumberFormat="1" applyFont="1" applyFill="1" applyBorder="1"/>
    <xf numFmtId="168" fontId="5" fillId="4" borderId="1" xfId="2" applyNumberFormat="1" applyFont="1" applyFill="1" applyBorder="1"/>
    <xf numFmtId="168" fontId="8" fillId="4" borderId="1" xfId="2" applyNumberFormat="1" applyFont="1" applyFill="1" applyBorder="1"/>
    <xf numFmtId="166" fontId="5" fillId="4" borderId="1" xfId="0" applyNumberFormat="1" applyFont="1" applyFill="1" applyBorder="1"/>
    <xf numFmtId="167" fontId="10" fillId="4" borderId="1" xfId="0" applyNumberFormat="1" applyFont="1" applyFill="1" applyBorder="1"/>
    <xf numFmtId="0" fontId="12" fillId="4" borderId="1" xfId="0" applyFont="1" applyFill="1" applyBorder="1"/>
    <xf numFmtId="170" fontId="12" fillId="4" borderId="1" xfId="2" applyNumberFormat="1" applyFont="1" applyFill="1" applyBorder="1"/>
    <xf numFmtId="165" fontId="5" fillId="4" borderId="1" xfId="2" applyFont="1" applyFill="1" applyBorder="1"/>
    <xf numFmtId="165" fontId="3" fillId="4" borderId="1" xfId="2" applyFont="1" applyFill="1" applyBorder="1"/>
    <xf numFmtId="2" fontId="3" fillId="4" borderId="1" xfId="0" applyNumberFormat="1" applyFont="1" applyFill="1" applyBorder="1"/>
    <xf numFmtId="166" fontId="3" fillId="4" borderId="1" xfId="0" applyNumberFormat="1" applyFont="1" applyFill="1" applyBorder="1"/>
    <xf numFmtId="1" fontId="3" fillId="4" borderId="1" xfId="0" applyNumberFormat="1" applyFont="1" applyFill="1" applyBorder="1"/>
    <xf numFmtId="168" fontId="8" fillId="4" borderId="9" xfId="2" applyNumberFormat="1" applyFont="1" applyFill="1" applyBorder="1"/>
    <xf numFmtId="0" fontId="5" fillId="4" borderId="6" xfId="0" applyFont="1" applyFill="1" applyBorder="1"/>
    <xf numFmtId="168" fontId="13" fillId="4" borderId="1" xfId="2" applyNumberFormat="1" applyFont="1" applyFill="1" applyBorder="1"/>
    <xf numFmtId="0" fontId="3" fillId="5" borderId="6" xfId="0" applyFont="1" applyFill="1" applyBorder="1"/>
    <xf numFmtId="170" fontId="9" fillId="5" borderId="1" xfId="2" applyNumberFormat="1" applyFont="1" applyFill="1" applyBorder="1"/>
    <xf numFmtId="168" fontId="12" fillId="5" borderId="1" xfId="2" applyNumberFormat="1" applyFont="1" applyFill="1" applyBorder="1"/>
    <xf numFmtId="0" fontId="0" fillId="0" borderId="0" xfId="0" applyAlignment="1">
      <alignment vertical="top"/>
    </xf>
    <xf numFmtId="173" fontId="1" fillId="6" borderId="10" xfId="3" applyNumberFormat="1" applyFont="1" applyFill="1" applyBorder="1" applyAlignment="1">
      <alignment vertical="top"/>
    </xf>
    <xf numFmtId="173" fontId="1" fillId="6" borderId="9" xfId="3" applyNumberFormat="1" applyFont="1" applyFill="1" applyBorder="1" applyAlignment="1">
      <alignment vertical="top"/>
    </xf>
    <xf numFmtId="0" fontId="0" fillId="0" borderId="8" xfId="0" applyBorder="1" applyAlignment="1">
      <alignment vertical="top"/>
    </xf>
    <xf numFmtId="173" fontId="1" fillId="6" borderId="7" xfId="3" applyNumberFormat="1" applyFont="1" applyFill="1" applyBorder="1" applyAlignment="1">
      <alignment vertical="top"/>
    </xf>
    <xf numFmtId="173" fontId="1" fillId="6" borderId="1" xfId="3" applyNumberFormat="1" applyFont="1" applyFill="1" applyBorder="1" applyAlignment="1">
      <alignment vertical="top"/>
    </xf>
    <xf numFmtId="0" fontId="0" fillId="0" borderId="6" xfId="0" applyBorder="1" applyAlignment="1">
      <alignment vertical="top"/>
    </xf>
    <xf numFmtId="167" fontId="1" fillId="6" borderId="7" xfId="1" applyNumberFormat="1" applyFont="1" applyFill="1" applyBorder="1" applyAlignment="1">
      <alignment vertical="top"/>
    </xf>
    <xf numFmtId="167" fontId="1" fillId="6" borderId="1" xfId="1" applyNumberFormat="1" applyFont="1" applyFill="1" applyBorder="1" applyAlignment="1">
      <alignment vertical="top"/>
    </xf>
    <xf numFmtId="174" fontId="1" fillId="6" borderId="7" xfId="3" applyNumberFormat="1" applyFont="1" applyFill="1" applyBorder="1" applyAlignment="1">
      <alignment vertical="top"/>
    </xf>
    <xf numFmtId="174" fontId="1" fillId="6" borderId="1" xfId="3" applyNumberFormat="1" applyFont="1" applyFill="1" applyBorder="1" applyAlignment="1">
      <alignment vertical="top"/>
    </xf>
    <xf numFmtId="164" fontId="1" fillId="0" borderId="7" xfId="3" applyNumberFormat="1" applyFont="1" applyBorder="1" applyAlignment="1">
      <alignment vertical="top"/>
    </xf>
    <xf numFmtId="164" fontId="1" fillId="0" borderId="1" xfId="3" applyNumberFormat="1" applyFont="1" applyBorder="1" applyAlignment="1">
      <alignment vertical="top"/>
    </xf>
    <xf numFmtId="165" fontId="1" fillId="6" borderId="7" xfId="3" applyNumberFormat="1" applyFont="1" applyFill="1" applyBorder="1" applyAlignment="1">
      <alignment vertical="top"/>
    </xf>
    <xf numFmtId="165" fontId="1" fillId="6" borderId="1" xfId="3" applyNumberFormat="1" applyFont="1" applyFill="1" applyBorder="1" applyAlignment="1">
      <alignment vertical="top"/>
    </xf>
    <xf numFmtId="165" fontId="0" fillId="0" borderId="7" xfId="3" applyNumberFormat="1" applyFont="1" applyBorder="1" applyAlignment="1">
      <alignment vertical="top"/>
    </xf>
    <xf numFmtId="165" fontId="0" fillId="0" borderId="1" xfId="3" applyNumberFormat="1" applyFont="1" applyBorder="1" applyAlignment="1">
      <alignment vertical="top"/>
    </xf>
    <xf numFmtId="0" fontId="0" fillId="0" borderId="10" xfId="0" applyBorder="1" applyAlignment="1">
      <alignment vertical="top"/>
    </xf>
    <xf numFmtId="0" fontId="0" fillId="0" borderId="9" xfId="0" applyBorder="1" applyAlignment="1">
      <alignment vertical="top"/>
    </xf>
    <xf numFmtId="0" fontId="0" fillId="0" borderId="7" xfId="0" applyBorder="1" applyAlignment="1">
      <alignment vertical="top"/>
    </xf>
    <xf numFmtId="0" fontId="0" fillId="0" borderId="1" xfId="0" applyBorder="1" applyAlignment="1">
      <alignment vertical="top"/>
    </xf>
    <xf numFmtId="167" fontId="0" fillId="6" borderId="7" xfId="1" applyNumberFormat="1" applyFont="1" applyFill="1" applyBorder="1" applyAlignment="1">
      <alignment vertical="top"/>
    </xf>
    <xf numFmtId="167" fontId="0" fillId="6" borderId="1" xfId="1" applyNumberFormat="1" applyFont="1" applyFill="1" applyBorder="1" applyAlignment="1">
      <alignment vertical="top"/>
    </xf>
    <xf numFmtId="0" fontId="0" fillId="6" borderId="6" xfId="0" applyFill="1" applyBorder="1" applyAlignment="1">
      <alignment vertical="top"/>
    </xf>
    <xf numFmtId="0" fontId="15" fillId="5" borderId="5" xfId="0" applyFont="1" applyFill="1" applyBorder="1" applyAlignment="1">
      <alignment horizontal="center" vertical="top" wrapText="1"/>
    </xf>
    <xf numFmtId="0" fontId="15" fillId="5" borderId="4" xfId="0" applyFont="1" applyFill="1" applyBorder="1" applyAlignment="1">
      <alignment horizontal="center" vertical="top" wrapText="1"/>
    </xf>
    <xf numFmtId="0" fontId="15" fillId="5" borderId="3" xfId="0" applyFont="1" applyFill="1" applyBorder="1" applyAlignment="1">
      <alignment vertical="top"/>
    </xf>
    <xf numFmtId="0" fontId="15" fillId="0" borderId="0" xfId="0" applyFont="1" applyAlignment="1">
      <alignment horizontal="center" vertical="top"/>
    </xf>
    <xf numFmtId="165" fontId="0" fillId="6" borderId="9" xfId="3" applyNumberFormat="1" applyFont="1" applyFill="1" applyBorder="1" applyAlignment="1">
      <alignment vertical="top"/>
    </xf>
    <xf numFmtId="0" fontId="0" fillId="6" borderId="8" xfId="0" applyFill="1" applyBorder="1" applyAlignment="1">
      <alignment vertical="top"/>
    </xf>
    <xf numFmtId="165" fontId="0" fillId="6" borderId="7" xfId="3" applyNumberFormat="1" applyFont="1" applyFill="1" applyBorder="1" applyAlignment="1">
      <alignment vertical="top"/>
    </xf>
    <xf numFmtId="165" fontId="0" fillId="6" borderId="1" xfId="3" applyNumberFormat="1" applyFont="1" applyFill="1" applyBorder="1" applyAlignment="1">
      <alignment vertical="top"/>
    </xf>
    <xf numFmtId="165" fontId="0" fillId="0" borderId="1" xfId="0" applyNumberFormat="1" applyBorder="1" applyAlignment="1">
      <alignment vertical="top"/>
    </xf>
    <xf numFmtId="10" fontId="0" fillId="0" borderId="1" xfId="1" applyNumberFormat="1" applyFont="1" applyBorder="1" applyAlignment="1">
      <alignment vertical="top"/>
    </xf>
    <xf numFmtId="0" fontId="15" fillId="5" borderId="3" xfId="0" applyFont="1" applyFill="1" applyBorder="1" applyAlignment="1">
      <alignment vertical="top" wrapText="1"/>
    </xf>
    <xf numFmtId="0" fontId="15" fillId="0" borderId="0" xfId="0" applyFont="1" applyAlignment="1">
      <alignment vertical="top"/>
    </xf>
    <xf numFmtId="0" fontId="0" fillId="7" borderId="0" xfId="0" applyFill="1" applyAlignment="1">
      <alignment vertical="top"/>
    </xf>
    <xf numFmtId="0" fontId="16" fillId="7" borderId="0" xfId="0" applyFont="1" applyFill="1" applyAlignment="1">
      <alignment vertical="top"/>
    </xf>
    <xf numFmtId="167" fontId="16" fillId="7" borderId="1" xfId="1" applyNumberFormat="1" applyFont="1" applyFill="1" applyBorder="1" applyAlignment="1">
      <alignment vertical="top"/>
    </xf>
    <xf numFmtId="167" fontId="0" fillId="7" borderId="1" xfId="1" applyNumberFormat="1" applyFont="1" applyFill="1" applyBorder="1" applyAlignment="1">
      <alignment vertical="top"/>
    </xf>
    <xf numFmtId="0" fontId="0" fillId="7" borderId="1" xfId="0" applyFill="1" applyBorder="1" applyAlignment="1">
      <alignment vertical="top"/>
    </xf>
    <xf numFmtId="174" fontId="0" fillId="0" borderId="1" xfId="0" applyNumberFormat="1" applyBorder="1" applyAlignment="1">
      <alignment vertical="top"/>
    </xf>
    <xf numFmtId="173" fontId="0" fillId="0" borderId="1" xfId="0" applyNumberFormat="1" applyBorder="1" applyAlignment="1">
      <alignment vertical="top"/>
    </xf>
    <xf numFmtId="0" fontId="15" fillId="7" borderId="1" xfId="0" applyFont="1" applyFill="1" applyBorder="1" applyAlignment="1">
      <alignment vertical="top"/>
    </xf>
    <xf numFmtId="0" fontId="16" fillId="7" borderId="1" xfId="0" applyFont="1" applyFill="1" applyBorder="1" applyAlignment="1">
      <alignment vertical="top"/>
    </xf>
    <xf numFmtId="167" fontId="0" fillId="7" borderId="1" xfId="0" applyNumberFormat="1" applyFill="1" applyBorder="1" applyAlignment="1">
      <alignment vertical="top"/>
    </xf>
    <xf numFmtId="0" fontId="15" fillId="7" borderId="0" xfId="0" applyFont="1" applyFill="1" applyAlignment="1">
      <alignment vertical="top"/>
    </xf>
    <xf numFmtId="43" fontId="15" fillId="7" borderId="1" xfId="3" applyFont="1" applyFill="1" applyBorder="1" applyAlignment="1">
      <alignment vertical="top"/>
    </xf>
    <xf numFmtId="175" fontId="16" fillId="7" borderId="1" xfId="3" applyNumberFormat="1" applyFont="1" applyFill="1" applyBorder="1" applyAlignment="1">
      <alignment vertical="top"/>
    </xf>
    <xf numFmtId="0" fontId="16" fillId="0" borderId="1" xfId="0" applyFont="1" applyBorder="1" applyAlignment="1">
      <alignment vertical="top"/>
    </xf>
    <xf numFmtId="0" fontId="0" fillId="7" borderId="1" xfId="0" applyFill="1" applyBorder="1" applyAlignment="1">
      <alignment horizontal="right" vertical="top"/>
    </xf>
    <xf numFmtId="165" fontId="15" fillId="0" borderId="1" xfId="0" applyNumberFormat="1" applyFont="1" applyBorder="1" applyAlignment="1">
      <alignment vertical="top"/>
    </xf>
    <xf numFmtId="10" fontId="15" fillId="7" borderId="1" xfId="1" applyNumberFormat="1" applyFont="1" applyFill="1" applyBorder="1" applyAlignment="1">
      <alignment vertical="top"/>
    </xf>
    <xf numFmtId="165" fontId="15" fillId="7" borderId="1" xfId="0" applyNumberFormat="1" applyFont="1" applyFill="1" applyBorder="1" applyAlignment="1">
      <alignment vertical="top"/>
    </xf>
    <xf numFmtId="165" fontId="15" fillId="7" borderId="1" xfId="3" applyNumberFormat="1" applyFont="1" applyFill="1" applyBorder="1" applyAlignment="1">
      <alignment vertical="top"/>
    </xf>
    <xf numFmtId="165" fontId="0" fillId="7" borderId="1" xfId="3" applyNumberFormat="1" applyFont="1" applyFill="1" applyBorder="1" applyAlignment="1">
      <alignment vertical="top"/>
    </xf>
    <xf numFmtId="0" fontId="17" fillId="7" borderId="1" xfId="0" applyFont="1" applyFill="1" applyBorder="1" applyAlignment="1">
      <alignment horizontal="center" vertical="top"/>
    </xf>
    <xf numFmtId="0" fontId="18" fillId="7" borderId="1" xfId="0" applyFont="1" applyFill="1" applyBorder="1" applyAlignment="1">
      <alignment horizontal="center" vertical="top"/>
    </xf>
    <xf numFmtId="0" fontId="0" fillId="0" borderId="0" xfId="0" applyAlignment="1">
      <alignment vertical="top" wrapText="1"/>
    </xf>
    <xf numFmtId="0" fontId="18" fillId="8" borderId="1" xfId="0" applyFont="1" applyFill="1" applyBorder="1" applyAlignment="1">
      <alignment horizontal="center" vertical="center" wrapText="1"/>
    </xf>
    <xf numFmtId="167" fontId="0" fillId="0" borderId="1" xfId="1" applyNumberFormat="1" applyFont="1" applyFill="1" applyBorder="1" applyAlignment="1">
      <alignment vertical="top"/>
    </xf>
    <xf numFmtId="176" fontId="1" fillId="0" borderId="1" xfId="3" applyNumberFormat="1" applyFont="1" applyBorder="1" applyAlignment="1">
      <alignment vertical="top"/>
    </xf>
    <xf numFmtId="176" fontId="1" fillId="0" borderId="7" xfId="3" applyNumberFormat="1" applyFont="1" applyBorder="1" applyAlignment="1">
      <alignment vertical="top"/>
    </xf>
    <xf numFmtId="167" fontId="0" fillId="6" borderId="1" xfId="1" applyNumberFormat="1" applyFont="1" applyFill="1" applyBorder="1" applyAlignment="1">
      <alignment horizontal="right" vertical="top"/>
    </xf>
    <xf numFmtId="0" fontId="4" fillId="3" borderId="0" xfId="0" applyFont="1" applyFill="1" applyAlignment="1">
      <alignment horizontal="center"/>
    </xf>
    <xf numFmtId="0" fontId="7" fillId="3" borderId="16" xfId="0" applyFont="1" applyFill="1" applyBorder="1" applyAlignment="1">
      <alignment horizontal="center"/>
    </xf>
    <xf numFmtId="10" fontId="10" fillId="4" borderId="16" xfId="0" applyNumberFormat="1" applyFont="1" applyFill="1" applyBorder="1"/>
    <xf numFmtId="170" fontId="5" fillId="4" borderId="16" xfId="2" applyNumberFormat="1" applyFont="1" applyFill="1" applyBorder="1"/>
    <xf numFmtId="170" fontId="3" fillId="0" borderId="16" xfId="2" applyNumberFormat="1" applyFont="1" applyFill="1" applyBorder="1"/>
    <xf numFmtId="170" fontId="8" fillId="4" borderId="16" xfId="2" applyNumberFormat="1" applyFont="1" applyFill="1" applyBorder="1"/>
    <xf numFmtId="10" fontId="5" fillId="4" borderId="16" xfId="0" applyNumberFormat="1" applyFont="1" applyFill="1" applyBorder="1"/>
    <xf numFmtId="10" fontId="3" fillId="4" borderId="16" xfId="1" applyNumberFormat="1" applyFont="1" applyFill="1" applyBorder="1"/>
    <xf numFmtId="10" fontId="5" fillId="4" borderId="16" xfId="1" applyNumberFormat="1" applyFont="1" applyFill="1" applyBorder="1"/>
    <xf numFmtId="10" fontId="14" fillId="4" borderId="16" xfId="0" applyNumberFormat="1" applyFont="1" applyFill="1" applyBorder="1"/>
    <xf numFmtId="170" fontId="5" fillId="0" borderId="16" xfId="2" applyNumberFormat="1" applyFont="1" applyFill="1" applyBorder="1"/>
    <xf numFmtId="10" fontId="3" fillId="4" borderId="16" xfId="0" applyNumberFormat="1" applyFont="1" applyFill="1" applyBorder="1"/>
    <xf numFmtId="10" fontId="10" fillId="4" borderId="17" xfId="0" applyNumberFormat="1" applyFont="1" applyFill="1" applyBorder="1"/>
    <xf numFmtId="0" fontId="7" fillId="3" borderId="20" xfId="0" applyFont="1" applyFill="1" applyBorder="1" applyAlignment="1">
      <alignment horizontal="center"/>
    </xf>
    <xf numFmtId="170" fontId="9" fillId="0" borderId="20" xfId="2" applyNumberFormat="1" applyFont="1" applyFill="1" applyBorder="1"/>
    <xf numFmtId="170" fontId="9" fillId="5" borderId="20" xfId="2" applyNumberFormat="1" applyFont="1" applyFill="1" applyBorder="1"/>
    <xf numFmtId="170" fontId="3" fillId="0" borderId="20" xfId="2" applyNumberFormat="1" applyFont="1" applyFill="1" applyBorder="1"/>
    <xf numFmtId="170" fontId="5" fillId="4" borderId="20" xfId="2" applyNumberFormat="1" applyFont="1" applyFill="1" applyBorder="1"/>
    <xf numFmtId="165" fontId="3" fillId="0" borderId="20" xfId="2" applyFont="1" applyFill="1" applyBorder="1"/>
    <xf numFmtId="0" fontId="7" fillId="3" borderId="21" xfId="0" applyFont="1" applyFill="1" applyBorder="1" applyAlignment="1">
      <alignment horizontal="center"/>
    </xf>
    <xf numFmtId="170" fontId="3" fillId="4" borderId="16" xfId="2" applyNumberFormat="1" applyFont="1" applyFill="1" applyBorder="1"/>
    <xf numFmtId="10" fontId="9" fillId="4" borderId="16" xfId="0" applyNumberFormat="1" applyFont="1" applyFill="1" applyBorder="1"/>
    <xf numFmtId="10" fontId="9" fillId="4" borderId="16" xfId="1" applyNumberFormat="1" applyFont="1" applyFill="1" applyBorder="1"/>
    <xf numFmtId="169" fontId="3" fillId="4" borderId="16" xfId="2" applyNumberFormat="1" applyFont="1" applyFill="1" applyBorder="1"/>
    <xf numFmtId="0" fontId="7" fillId="3" borderId="22" xfId="0" applyFont="1" applyFill="1" applyBorder="1" applyAlignment="1">
      <alignment horizontal="center"/>
    </xf>
    <xf numFmtId="170" fontId="5" fillId="4" borderId="17" xfId="2" applyNumberFormat="1" applyFont="1" applyFill="1" applyBorder="1"/>
    <xf numFmtId="169" fontId="3" fillId="0" borderId="16" xfId="2" applyNumberFormat="1" applyFont="1" applyFill="1" applyBorder="1" applyAlignment="1">
      <alignment horizontal="right"/>
    </xf>
    <xf numFmtId="0" fontId="6" fillId="3" borderId="4" xfId="0" applyFont="1" applyFill="1" applyBorder="1" applyAlignment="1">
      <alignment horizontal="center"/>
    </xf>
    <xf numFmtId="10" fontId="3" fillId="0" borderId="0" xfId="1" applyNumberFormat="1" applyFont="1" applyBorder="1"/>
    <xf numFmtId="0" fontId="3" fillId="0" borderId="19" xfId="0" applyFont="1" applyBorder="1"/>
    <xf numFmtId="0" fontId="3" fillId="0" borderId="26" xfId="0" applyFont="1" applyBorder="1"/>
    <xf numFmtId="0" fontId="5" fillId="0" borderId="7" xfId="0" applyFont="1" applyBorder="1"/>
    <xf numFmtId="170" fontId="5" fillId="4" borderId="7" xfId="0" applyNumberFormat="1" applyFont="1" applyFill="1" applyBorder="1"/>
    <xf numFmtId="170" fontId="3" fillId="4" borderId="7" xfId="2" applyNumberFormat="1" applyFont="1" applyFill="1" applyBorder="1"/>
    <xf numFmtId="0" fontId="3" fillId="4" borderId="7" xfId="0" applyFont="1" applyFill="1" applyBorder="1"/>
    <xf numFmtId="10" fontId="3" fillId="4" borderId="7" xfId="0" applyNumberFormat="1" applyFont="1" applyFill="1" applyBorder="1"/>
    <xf numFmtId="10" fontId="9" fillId="4" borderId="7" xfId="0" applyNumberFormat="1" applyFont="1" applyFill="1" applyBorder="1"/>
    <xf numFmtId="10" fontId="9" fillId="4" borderId="7" xfId="1" applyNumberFormat="1" applyFont="1" applyFill="1" applyBorder="1"/>
    <xf numFmtId="169" fontId="3" fillId="4" borderId="7" xfId="2" applyNumberFormat="1" applyFont="1" applyFill="1" applyBorder="1"/>
    <xf numFmtId="0" fontId="12" fillId="0" borderId="28" xfId="0" applyFont="1" applyBorder="1"/>
    <xf numFmtId="1" fontId="9" fillId="0" borderId="1" xfId="0" applyNumberFormat="1" applyFont="1" applyBorder="1"/>
    <xf numFmtId="169" fontId="3" fillId="0" borderId="16" xfId="2" applyNumberFormat="1" applyFont="1" applyFill="1" applyBorder="1"/>
    <xf numFmtId="169" fontId="3" fillId="0" borderId="7" xfId="2" applyNumberFormat="1" applyFont="1" applyFill="1" applyBorder="1"/>
    <xf numFmtId="0" fontId="9" fillId="0" borderId="1" xfId="0" applyFont="1" applyBorder="1"/>
    <xf numFmtId="10" fontId="9" fillId="0" borderId="1" xfId="1" applyNumberFormat="1" applyFont="1" applyFill="1" applyBorder="1"/>
    <xf numFmtId="10" fontId="9" fillId="0" borderId="16" xfId="1" applyNumberFormat="1" applyFont="1" applyFill="1" applyBorder="1"/>
    <xf numFmtId="0" fontId="3" fillId="0" borderId="7" xfId="0" applyFont="1" applyBorder="1"/>
    <xf numFmtId="0" fontId="3" fillId="0" borderId="27" xfId="0" applyFont="1" applyBorder="1"/>
    <xf numFmtId="0" fontId="3" fillId="0" borderId="28" xfId="0" applyFont="1" applyBorder="1"/>
    <xf numFmtId="170" fontId="3" fillId="0" borderId="9" xfId="2" applyNumberFormat="1" applyFont="1" applyFill="1" applyBorder="1"/>
    <xf numFmtId="170" fontId="3" fillId="0" borderId="17" xfId="2" applyNumberFormat="1" applyFont="1" applyFill="1" applyBorder="1"/>
    <xf numFmtId="170" fontId="3" fillId="0" borderId="10" xfId="2" applyNumberFormat="1" applyFont="1" applyFill="1" applyBorder="1"/>
    <xf numFmtId="166" fontId="9" fillId="0" borderId="1" xfId="0" applyNumberFormat="1" applyFont="1" applyBorder="1"/>
    <xf numFmtId="4" fontId="0" fillId="0" borderId="0" xfId="0" applyNumberFormat="1" applyAlignment="1">
      <alignment vertical="top"/>
    </xf>
    <xf numFmtId="165" fontId="20" fillId="7" borderId="30" xfId="0" applyNumberFormat="1" applyFont="1" applyFill="1" applyBorder="1" applyAlignment="1">
      <alignment horizontal="center"/>
    </xf>
    <xf numFmtId="0" fontId="15" fillId="0" borderId="29" xfId="0" applyFont="1" applyBorder="1" applyAlignment="1">
      <alignment horizontal="left" vertical="top"/>
    </xf>
    <xf numFmtId="165" fontId="16" fillId="7" borderId="29" xfId="3" applyNumberFormat="1" applyFont="1" applyFill="1" applyBorder="1"/>
    <xf numFmtId="165" fontId="16" fillId="7" borderId="1" xfId="3" applyNumberFormat="1" applyFont="1" applyFill="1" applyBorder="1"/>
    <xf numFmtId="0" fontId="3" fillId="0" borderId="11" xfId="0" applyFont="1" applyBorder="1"/>
    <xf numFmtId="168" fontId="5" fillId="0" borderId="1" xfId="3" applyNumberFormat="1" applyFont="1" applyFill="1" applyBorder="1"/>
    <xf numFmtId="170" fontId="5" fillId="0" borderId="1" xfId="3" applyNumberFormat="1" applyFont="1" applyFill="1" applyBorder="1"/>
    <xf numFmtId="168" fontId="9" fillId="0" borderId="1" xfId="3" applyNumberFormat="1" applyFont="1" applyFill="1" applyBorder="1"/>
    <xf numFmtId="170" fontId="3" fillId="0" borderId="1" xfId="3" applyNumberFormat="1" applyFont="1" applyFill="1" applyBorder="1"/>
    <xf numFmtId="168" fontId="3" fillId="0" borderId="1" xfId="3" applyNumberFormat="1" applyFont="1" applyFill="1" applyBorder="1"/>
    <xf numFmtId="165" fontId="5" fillId="0" borderId="1" xfId="3" applyNumberFormat="1" applyFont="1" applyFill="1" applyBorder="1"/>
    <xf numFmtId="43" fontId="9" fillId="0" borderId="1" xfId="3" applyFont="1" applyFill="1" applyBorder="1"/>
    <xf numFmtId="43" fontId="3" fillId="0" borderId="1" xfId="3" applyFont="1" applyFill="1" applyBorder="1"/>
    <xf numFmtId="165" fontId="16" fillId="0" borderId="29" xfId="3" applyNumberFormat="1" applyFont="1" applyFill="1" applyBorder="1"/>
    <xf numFmtId="0" fontId="3" fillId="0" borderId="31" xfId="0" applyFont="1" applyBorder="1"/>
    <xf numFmtId="168" fontId="12" fillId="0" borderId="12" xfId="2" applyNumberFormat="1" applyFont="1" applyFill="1" applyBorder="1"/>
    <xf numFmtId="170" fontId="3" fillId="0" borderId="12" xfId="2" applyNumberFormat="1" applyFont="1" applyFill="1" applyBorder="1"/>
    <xf numFmtId="168" fontId="3" fillId="0" borderId="2" xfId="2" applyNumberFormat="1" applyFont="1" applyFill="1" applyBorder="1"/>
    <xf numFmtId="170" fontId="3" fillId="0" borderId="2" xfId="2" applyNumberFormat="1" applyFont="1" applyFill="1" applyBorder="1"/>
    <xf numFmtId="0" fontId="3" fillId="0" borderId="1" xfId="0" applyFont="1" applyBorder="1"/>
    <xf numFmtId="165" fontId="0" fillId="0" borderId="1" xfId="3" applyNumberFormat="1" applyFont="1" applyFill="1" applyBorder="1"/>
    <xf numFmtId="168" fontId="3" fillId="0" borderId="12" xfId="2" applyNumberFormat="1" applyFont="1" applyFill="1" applyBorder="1"/>
    <xf numFmtId="165" fontId="0" fillId="7" borderId="1" xfId="0" applyNumberFormat="1" applyFill="1" applyBorder="1" applyAlignment="1">
      <alignment vertical="top"/>
    </xf>
    <xf numFmtId="173" fontId="0" fillId="7" borderId="1" xfId="0" applyNumberFormat="1" applyFill="1" applyBorder="1" applyAlignment="1">
      <alignment vertical="top"/>
    </xf>
    <xf numFmtId="174" fontId="0" fillId="7" borderId="1" xfId="0" applyNumberFormat="1" applyFill="1" applyBorder="1" applyAlignment="1">
      <alignment vertical="top"/>
    </xf>
    <xf numFmtId="3" fontId="0" fillId="0" borderId="0" xfId="0" applyNumberFormat="1"/>
    <xf numFmtId="3" fontId="0" fillId="6" borderId="0" xfId="0" applyNumberFormat="1" applyFill="1"/>
    <xf numFmtId="165" fontId="0" fillId="10" borderId="1" xfId="0" applyNumberFormat="1" applyFill="1" applyBorder="1" applyAlignment="1">
      <alignment vertical="top"/>
    </xf>
    <xf numFmtId="173" fontId="0" fillId="10" borderId="1" xfId="0" applyNumberFormat="1" applyFill="1" applyBorder="1" applyAlignment="1">
      <alignment vertical="top"/>
    </xf>
    <xf numFmtId="10" fontId="15" fillId="10" borderId="1" xfId="1" applyNumberFormat="1" applyFont="1" applyFill="1" applyBorder="1" applyAlignment="1">
      <alignment vertical="top"/>
    </xf>
    <xf numFmtId="167" fontId="16" fillId="10" borderId="1" xfId="1" applyNumberFormat="1" applyFont="1" applyFill="1" applyBorder="1" applyAlignment="1">
      <alignment vertical="top"/>
    </xf>
    <xf numFmtId="165" fontId="15" fillId="6" borderId="1" xfId="0" applyNumberFormat="1" applyFont="1" applyFill="1" applyBorder="1" applyAlignment="1">
      <alignment vertical="top"/>
    </xf>
    <xf numFmtId="165" fontId="15" fillId="6" borderId="1" xfId="3" applyNumberFormat="1" applyFont="1" applyFill="1" applyBorder="1" applyAlignment="1">
      <alignment vertical="top"/>
    </xf>
    <xf numFmtId="167" fontId="16" fillId="6" borderId="1" xfId="1" applyNumberFormat="1" applyFont="1" applyFill="1" applyBorder="1" applyAlignment="1">
      <alignment vertical="top"/>
    </xf>
    <xf numFmtId="0" fontId="4" fillId="3" borderId="1" xfId="0" applyFont="1" applyFill="1" applyBorder="1" applyAlignment="1">
      <alignment horizontal="center"/>
    </xf>
    <xf numFmtId="0" fontId="7" fillId="3" borderId="0" xfId="0" applyFont="1" applyFill="1" applyAlignment="1">
      <alignment horizontal="center"/>
    </xf>
    <xf numFmtId="170" fontId="5" fillId="4" borderId="0" xfId="2" applyNumberFormat="1" applyFont="1" applyFill="1" applyBorder="1"/>
    <xf numFmtId="170" fontId="5" fillId="0" borderId="16" xfId="3" applyNumberFormat="1" applyFont="1" applyFill="1" applyBorder="1"/>
    <xf numFmtId="170" fontId="3" fillId="0" borderId="16" xfId="3" applyNumberFormat="1" applyFont="1" applyFill="1" applyBorder="1"/>
    <xf numFmtId="0" fontId="4" fillId="3" borderId="23" xfId="0" applyFont="1" applyFill="1" applyBorder="1" applyAlignment="1">
      <alignment horizontal="center"/>
    </xf>
    <xf numFmtId="170" fontId="5" fillId="0" borderId="32" xfId="2" applyNumberFormat="1" applyFont="1" applyFill="1" applyBorder="1"/>
    <xf numFmtId="170" fontId="3" fillId="0" borderId="33" xfId="2" applyNumberFormat="1" applyFont="1" applyFill="1" applyBorder="1"/>
    <xf numFmtId="170" fontId="5" fillId="4" borderId="19" xfId="2" applyNumberFormat="1" applyFont="1" applyFill="1" applyBorder="1"/>
    <xf numFmtId="170" fontId="5" fillId="4" borderId="34" xfId="2" applyNumberFormat="1" applyFont="1" applyFill="1" applyBorder="1"/>
    <xf numFmtId="175" fontId="0" fillId="0" borderId="1" xfId="3" applyNumberFormat="1" applyFont="1" applyFill="1" applyBorder="1" applyAlignment="1">
      <alignment horizontal="right"/>
    </xf>
    <xf numFmtId="165" fontId="0" fillId="0" borderId="1" xfId="0" applyNumberFormat="1" applyBorder="1" applyAlignment="1">
      <alignment horizontal="right" vertical="top"/>
    </xf>
    <xf numFmtId="3" fontId="22" fillId="0" borderId="0" xfId="0" applyNumberFormat="1" applyFont="1"/>
    <xf numFmtId="174" fontId="0" fillId="0" borderId="1" xfId="0" applyNumberFormat="1" applyBorder="1" applyAlignment="1">
      <alignment horizontal="right" vertical="top"/>
    </xf>
    <xf numFmtId="165" fontId="0" fillId="6" borderId="1" xfId="0" applyNumberFormat="1" applyFill="1" applyBorder="1" applyAlignment="1">
      <alignment vertical="top"/>
    </xf>
    <xf numFmtId="10" fontId="15" fillId="6" borderId="1" xfId="1" applyNumberFormat="1" applyFont="1" applyFill="1" applyBorder="1" applyAlignment="1">
      <alignment vertical="top"/>
    </xf>
    <xf numFmtId="165" fontId="15" fillId="10" borderId="1" xfId="0" applyNumberFormat="1" applyFont="1" applyFill="1" applyBorder="1" applyAlignment="1">
      <alignment vertical="top"/>
    </xf>
    <xf numFmtId="167" fontId="0" fillId="10" borderId="1" xfId="0" applyNumberFormat="1" applyFill="1" applyBorder="1" applyAlignment="1">
      <alignment vertical="top"/>
    </xf>
    <xf numFmtId="174" fontId="0" fillId="11" borderId="1" xfId="0" applyNumberFormat="1" applyFill="1" applyBorder="1" applyAlignment="1">
      <alignment vertical="top"/>
    </xf>
    <xf numFmtId="174" fontId="0" fillId="6" borderId="1" xfId="0" applyNumberFormat="1" applyFill="1" applyBorder="1" applyAlignment="1">
      <alignment vertical="top"/>
    </xf>
    <xf numFmtId="165" fontId="0" fillId="6" borderId="1" xfId="2" applyFont="1" applyFill="1" applyBorder="1" applyAlignment="1">
      <alignment vertical="top"/>
    </xf>
    <xf numFmtId="165" fontId="1" fillId="10" borderId="1" xfId="2" applyFont="1" applyFill="1" applyBorder="1" applyAlignment="1">
      <alignment vertical="top"/>
    </xf>
    <xf numFmtId="43" fontId="15" fillId="10" borderId="1" xfId="3" applyFont="1" applyFill="1" applyBorder="1" applyAlignment="1">
      <alignment vertical="top"/>
    </xf>
    <xf numFmtId="173" fontId="0" fillId="0" borderId="1" xfId="0" applyNumberFormat="1" applyBorder="1" applyAlignment="1">
      <alignment horizontal="right" vertical="top"/>
    </xf>
    <xf numFmtId="165" fontId="1" fillId="6" borderId="1" xfId="2" applyFont="1" applyFill="1" applyBorder="1" applyAlignment="1">
      <alignment vertical="top"/>
    </xf>
    <xf numFmtId="175" fontId="0" fillId="6" borderId="1" xfId="3" applyNumberFormat="1" applyFont="1" applyFill="1" applyBorder="1" applyAlignment="1">
      <alignment vertical="top"/>
    </xf>
    <xf numFmtId="43" fontId="15" fillId="6" borderId="1" xfId="3" applyFont="1" applyFill="1" applyBorder="1" applyAlignment="1">
      <alignment vertical="top"/>
    </xf>
    <xf numFmtId="173" fontId="0" fillId="6" borderId="1" xfId="0" applyNumberFormat="1" applyFill="1" applyBorder="1" applyAlignment="1">
      <alignment vertical="top"/>
    </xf>
    <xf numFmtId="165" fontId="0" fillId="11" borderId="1" xfId="2" applyFont="1" applyFill="1" applyBorder="1" applyAlignment="1">
      <alignment vertical="top"/>
    </xf>
    <xf numFmtId="167" fontId="0" fillId="10" borderId="1" xfId="1" applyNumberFormat="1" applyFont="1" applyFill="1" applyBorder="1" applyAlignment="1">
      <alignment vertical="top"/>
    </xf>
    <xf numFmtId="174" fontId="0" fillId="7" borderId="1" xfId="0" applyNumberFormat="1" applyFill="1" applyBorder="1" applyAlignment="1">
      <alignment horizontal="right" vertical="top"/>
    </xf>
    <xf numFmtId="0" fontId="24" fillId="0" borderId="0" xfId="0" applyFont="1"/>
    <xf numFmtId="0" fontId="24" fillId="7" borderId="0" xfId="0" applyFont="1" applyFill="1"/>
    <xf numFmtId="0" fontId="25" fillId="0" borderId="0" xfId="0" applyFont="1" applyAlignment="1">
      <alignment wrapText="1"/>
    </xf>
    <xf numFmtId="0" fontId="27" fillId="12" borderId="0" xfId="0" applyFont="1" applyFill="1"/>
    <xf numFmtId="10" fontId="24" fillId="12" borderId="0" xfId="1" applyNumberFormat="1" applyFont="1" applyFill="1"/>
    <xf numFmtId="0" fontId="24" fillId="12" borderId="0" xfId="0" applyFont="1" applyFill="1"/>
    <xf numFmtId="177" fontId="24" fillId="12" borderId="0" xfId="0" applyNumberFormat="1" applyFont="1" applyFill="1"/>
    <xf numFmtId="178" fontId="24" fillId="0" borderId="0" xfId="0" applyNumberFormat="1" applyFont="1"/>
    <xf numFmtId="2" fontId="24" fillId="0" borderId="0" xfId="0" applyNumberFormat="1" applyFont="1"/>
    <xf numFmtId="0" fontId="27" fillId="3" borderId="1" xfId="0" applyFont="1" applyFill="1" applyBorder="1" applyAlignment="1">
      <alignment horizontal="right"/>
    </xf>
    <xf numFmtId="0" fontId="24" fillId="0" borderId="1" xfId="0" applyFont="1" applyBorder="1" applyAlignment="1">
      <alignment horizontal="left" indent="1"/>
    </xf>
    <xf numFmtId="10" fontId="24" fillId="4" borderId="1" xfId="0" applyNumberFormat="1" applyFont="1" applyFill="1" applyBorder="1" applyAlignment="1">
      <alignment horizontal="right"/>
    </xf>
    <xf numFmtId="169" fontId="24" fillId="4" borderId="1" xfId="2" applyNumberFormat="1" applyFont="1" applyFill="1" applyBorder="1" applyAlignment="1">
      <alignment horizontal="right"/>
    </xf>
    <xf numFmtId="10" fontId="28" fillId="4" borderId="1" xfId="1" applyNumberFormat="1" applyFont="1" applyFill="1" applyBorder="1" applyAlignment="1">
      <alignment horizontal="right"/>
    </xf>
    <xf numFmtId="10" fontId="29" fillId="4" borderId="1" xfId="0" applyNumberFormat="1" applyFont="1" applyFill="1" applyBorder="1" applyAlignment="1">
      <alignment horizontal="right"/>
    </xf>
    <xf numFmtId="4" fontId="24" fillId="0" borderId="0" xfId="0" applyNumberFormat="1" applyFont="1"/>
    <xf numFmtId="179" fontId="24" fillId="0" borderId="0" xfId="0" applyNumberFormat="1" applyFont="1"/>
    <xf numFmtId="170" fontId="26" fillId="4" borderId="1" xfId="2" applyNumberFormat="1" applyFont="1" applyFill="1" applyBorder="1" applyAlignment="1">
      <alignment horizontal="right"/>
    </xf>
    <xf numFmtId="10" fontId="27" fillId="4" borderId="1" xfId="0" applyNumberFormat="1" applyFont="1" applyFill="1" applyBorder="1" applyAlignment="1">
      <alignment horizontal="right"/>
    </xf>
    <xf numFmtId="170" fontId="28" fillId="7" borderId="1" xfId="2" applyNumberFormat="1" applyFont="1" applyFill="1" applyBorder="1" applyAlignment="1">
      <alignment horizontal="right"/>
    </xf>
    <xf numFmtId="10" fontId="27" fillId="4" borderId="1" xfId="1" applyNumberFormat="1" applyFont="1" applyFill="1" applyBorder="1" applyAlignment="1">
      <alignment horizontal="right"/>
    </xf>
    <xf numFmtId="10" fontId="30" fillId="4" borderId="1" xfId="0" applyNumberFormat="1" applyFont="1" applyFill="1" applyBorder="1" applyAlignment="1">
      <alignment horizontal="right"/>
    </xf>
    <xf numFmtId="165" fontId="26" fillId="7" borderId="1" xfId="3" applyNumberFormat="1" applyFont="1" applyFill="1" applyBorder="1" applyAlignment="1">
      <alignment horizontal="right"/>
    </xf>
    <xf numFmtId="170" fontId="27" fillId="7" borderId="1" xfId="2" applyNumberFormat="1" applyFont="1" applyFill="1" applyBorder="1" applyAlignment="1">
      <alignment horizontal="right"/>
    </xf>
    <xf numFmtId="170" fontId="26" fillId="7" borderId="1" xfId="0" applyNumberFormat="1" applyFont="1" applyFill="1" applyBorder="1" applyAlignment="1">
      <alignment horizontal="right"/>
    </xf>
    <xf numFmtId="0" fontId="27" fillId="3" borderId="1" xfId="0" applyFont="1" applyFill="1" applyBorder="1" applyAlignment="1">
      <alignment horizontal="left"/>
    </xf>
    <xf numFmtId="0" fontId="27" fillId="0" borderId="1" xfId="0" applyFont="1" applyBorder="1" applyAlignment="1">
      <alignment horizontal="left"/>
    </xf>
    <xf numFmtId="10" fontId="29" fillId="4" borderId="1" xfId="0" applyNumberFormat="1" applyFont="1" applyFill="1" applyBorder="1" applyAlignment="1">
      <alignment horizontal="left"/>
    </xf>
    <xf numFmtId="0" fontId="29" fillId="0" borderId="1" xfId="0" applyFont="1" applyBorder="1" applyAlignment="1">
      <alignment horizontal="left"/>
    </xf>
    <xf numFmtId="0" fontId="24" fillId="0" borderId="1" xfId="0" applyFont="1" applyBorder="1" applyAlignment="1">
      <alignment horizontal="left"/>
    </xf>
    <xf numFmtId="170" fontId="26" fillId="4" borderId="1" xfId="2" applyNumberFormat="1" applyFont="1" applyFill="1" applyBorder="1" applyAlignment="1">
      <alignment horizontal="left"/>
    </xf>
    <xf numFmtId="10" fontId="27" fillId="4" borderId="1" xfId="0" applyNumberFormat="1" applyFont="1" applyFill="1" applyBorder="1" applyAlignment="1">
      <alignment horizontal="left"/>
    </xf>
    <xf numFmtId="10" fontId="24" fillId="4" borderId="1" xfId="0" applyNumberFormat="1" applyFont="1" applyFill="1" applyBorder="1" applyAlignment="1">
      <alignment horizontal="left"/>
    </xf>
    <xf numFmtId="0" fontId="24" fillId="0" borderId="0" xfId="0" applyFont="1" applyAlignment="1">
      <alignment horizontal="left"/>
    </xf>
    <xf numFmtId="0" fontId="28" fillId="0" borderId="0" xfId="0" applyFont="1" applyAlignment="1">
      <alignment horizontal="left"/>
    </xf>
    <xf numFmtId="170" fontId="27" fillId="4" borderId="1" xfId="2" applyNumberFormat="1" applyFont="1" applyFill="1" applyBorder="1" applyAlignment="1">
      <alignment horizontal="right"/>
    </xf>
    <xf numFmtId="0" fontId="24" fillId="0" borderId="0" xfId="0" applyFont="1" applyAlignment="1">
      <alignment horizontal="right"/>
    </xf>
    <xf numFmtId="170" fontId="24" fillId="0" borderId="0" xfId="2" applyNumberFormat="1" applyFont="1" applyFill="1" applyBorder="1" applyAlignment="1">
      <alignment horizontal="right"/>
    </xf>
    <xf numFmtId="0" fontId="26" fillId="3" borderId="1" xfId="0" applyFont="1" applyFill="1" applyBorder="1" applyAlignment="1">
      <alignment horizontal="right"/>
    </xf>
    <xf numFmtId="0" fontId="31" fillId="0" borderId="1" xfId="0" applyFont="1" applyBorder="1" applyAlignment="1">
      <alignment horizontal="right"/>
    </xf>
    <xf numFmtId="0" fontId="31" fillId="0" borderId="0" xfId="0" applyFont="1" applyAlignment="1">
      <alignment horizontal="right"/>
    </xf>
    <xf numFmtId="0" fontId="27" fillId="0" borderId="0" xfId="0" applyFont="1" applyAlignment="1">
      <alignment horizontal="left"/>
    </xf>
    <xf numFmtId="39" fontId="26" fillId="4" borderId="1" xfId="2" applyNumberFormat="1" applyFont="1" applyFill="1" applyBorder="1" applyAlignment="1">
      <alignment horizontal="right"/>
    </xf>
    <xf numFmtId="170" fontId="24" fillId="4" borderId="1" xfId="2" applyNumberFormat="1" applyFont="1" applyFill="1" applyBorder="1" applyAlignment="1">
      <alignment horizontal="right"/>
    </xf>
    <xf numFmtId="172" fontId="24" fillId="4" borderId="1" xfId="2" applyNumberFormat="1" applyFont="1" applyFill="1" applyBorder="1" applyAlignment="1">
      <alignment horizontal="right"/>
    </xf>
    <xf numFmtId="4" fontId="24" fillId="4" borderId="1" xfId="2" applyNumberFormat="1" applyFont="1" applyFill="1" applyBorder="1" applyAlignment="1">
      <alignment horizontal="right"/>
    </xf>
    <xf numFmtId="39" fontId="24" fillId="0" borderId="1" xfId="0" applyNumberFormat="1" applyFont="1" applyBorder="1" applyAlignment="1">
      <alignment horizontal="right"/>
    </xf>
    <xf numFmtId="0" fontId="27" fillId="3" borderId="1" xfId="0" applyFont="1" applyFill="1" applyBorder="1" applyAlignment="1">
      <alignment horizontal="right" wrapText="1"/>
    </xf>
    <xf numFmtId="39" fontId="24" fillId="7" borderId="1" xfId="0" applyNumberFormat="1" applyFont="1" applyFill="1" applyBorder="1" applyAlignment="1">
      <alignment horizontal="right"/>
    </xf>
    <xf numFmtId="0" fontId="23" fillId="2" borderId="0" xfId="0" applyFont="1" applyFill="1" applyAlignment="1">
      <alignment horizontal="right" vertical="center"/>
    </xf>
    <xf numFmtId="0" fontId="25" fillId="3" borderId="1" xfId="0" applyFont="1" applyFill="1" applyBorder="1" applyAlignment="1">
      <alignment horizontal="right" wrapText="1"/>
    </xf>
    <xf numFmtId="0" fontId="27" fillId="3" borderId="1" xfId="0" applyFont="1" applyFill="1" applyBorder="1" applyAlignment="1">
      <alignment horizontal="right" vertical="top" wrapText="1"/>
    </xf>
    <xf numFmtId="0" fontId="25" fillId="3" borderId="0" xfId="0" applyFont="1" applyFill="1" applyAlignment="1">
      <alignment horizontal="center"/>
    </xf>
    <xf numFmtId="165" fontId="24" fillId="0" borderId="0" xfId="0" applyNumberFormat="1" applyFont="1"/>
    <xf numFmtId="43" fontId="27" fillId="0" borderId="0" xfId="0" applyNumberFormat="1" applyFont="1"/>
    <xf numFmtId="0" fontId="33" fillId="0" borderId="1" xfId="0" applyFont="1" applyBorder="1" applyAlignment="1">
      <alignment horizontal="right"/>
    </xf>
    <xf numFmtId="0" fontId="24" fillId="0" borderId="1" xfId="0" applyFont="1" applyBorder="1" applyAlignment="1">
      <alignment horizontal="right"/>
    </xf>
    <xf numFmtId="0" fontId="27" fillId="5" borderId="1" xfId="0" applyFont="1" applyFill="1" applyBorder="1" applyAlignment="1">
      <alignment horizontal="left"/>
    </xf>
    <xf numFmtId="39" fontId="26" fillId="5" borderId="1" xfId="2" applyNumberFormat="1" applyFont="1" applyFill="1" applyBorder="1" applyAlignment="1">
      <alignment horizontal="right"/>
    </xf>
    <xf numFmtId="37" fontId="24" fillId="0" borderId="1" xfId="2" applyNumberFormat="1" applyFont="1" applyFill="1" applyBorder="1" applyAlignment="1">
      <alignment horizontal="right"/>
    </xf>
    <xf numFmtId="39" fontId="24" fillId="4" borderId="1" xfId="2" applyNumberFormat="1" applyFont="1" applyFill="1" applyBorder="1" applyAlignment="1">
      <alignment horizontal="right"/>
    </xf>
    <xf numFmtId="37" fontId="27" fillId="4" borderId="1" xfId="2" applyNumberFormat="1" applyFont="1" applyFill="1" applyBorder="1" applyAlignment="1">
      <alignment horizontal="right"/>
    </xf>
    <xf numFmtId="0" fontId="23" fillId="2" borderId="27" xfId="0" applyFont="1" applyFill="1" applyBorder="1" applyAlignment="1">
      <alignment horizontal="center" vertical="center"/>
    </xf>
    <xf numFmtId="0" fontId="23" fillId="2" borderId="28" xfId="0" applyFont="1" applyFill="1" applyBorder="1" applyAlignment="1">
      <alignment horizontal="center" vertical="center"/>
    </xf>
    <xf numFmtId="0" fontId="23" fillId="2" borderId="0" xfId="0" applyFont="1" applyFill="1" applyAlignment="1">
      <alignment horizontal="center" vertical="center"/>
    </xf>
    <xf numFmtId="0" fontId="25" fillId="3" borderId="1" xfId="0" applyFont="1" applyFill="1" applyBorder="1" applyAlignment="1">
      <alignment horizontal="center" wrapText="1"/>
    </xf>
    <xf numFmtId="0" fontId="25" fillId="3" borderId="23" xfId="0" applyFont="1" applyFill="1" applyBorder="1" applyAlignment="1">
      <alignment horizontal="center"/>
    </xf>
    <xf numFmtId="0" fontId="25" fillId="3" borderId="24" xfId="0" applyFont="1" applyFill="1" applyBorder="1" applyAlignment="1">
      <alignment horizontal="center"/>
    </xf>
    <xf numFmtId="0" fontId="4" fillId="3" borderId="3" xfId="0" applyFont="1" applyFill="1" applyBorder="1" applyAlignment="1">
      <alignment horizontal="center"/>
    </xf>
    <xf numFmtId="0" fontId="4" fillId="3" borderId="4" xfId="0" applyFont="1" applyFill="1" applyBorder="1" applyAlignment="1">
      <alignment horizontal="center"/>
    </xf>
    <xf numFmtId="0" fontId="4" fillId="3" borderId="5" xfId="0" applyFont="1" applyFill="1" applyBorder="1" applyAlignment="1">
      <alignment horizontal="center"/>
    </xf>
    <xf numFmtId="0" fontId="4" fillId="3" borderId="15" xfId="0" applyFont="1" applyFill="1" applyBorder="1" applyAlignment="1">
      <alignment horizontal="center"/>
    </xf>
    <xf numFmtId="0" fontId="4" fillId="3" borderId="14" xfId="0" applyFont="1" applyFill="1" applyBorder="1" applyAlignment="1">
      <alignment horizontal="center"/>
    </xf>
    <xf numFmtId="0" fontId="4" fillId="3" borderId="18" xfId="0" applyFont="1" applyFill="1" applyBorder="1" applyAlignment="1">
      <alignment horizontal="center"/>
    </xf>
    <xf numFmtId="0" fontId="2" fillId="2" borderId="23" xfId="0" applyFont="1" applyFill="1" applyBorder="1" applyAlignment="1">
      <alignment horizontal="center" vertical="center"/>
    </xf>
    <xf numFmtId="0" fontId="2" fillId="2" borderId="24" xfId="0" applyFont="1" applyFill="1" applyBorder="1" applyAlignment="1">
      <alignment horizontal="center" vertical="center"/>
    </xf>
    <xf numFmtId="0" fontId="2" fillId="2" borderId="25" xfId="0" applyFont="1" applyFill="1" applyBorder="1" applyAlignment="1">
      <alignment horizontal="center" vertical="center"/>
    </xf>
    <xf numFmtId="0" fontId="15" fillId="0" borderId="0" xfId="0" applyFont="1" applyAlignment="1">
      <alignment horizontal="center" vertical="top"/>
    </xf>
    <xf numFmtId="0" fontId="19" fillId="9" borderId="15" xfId="0" applyFont="1" applyFill="1" applyBorder="1" applyAlignment="1">
      <alignment horizontal="center" vertical="top"/>
    </xf>
    <xf numFmtId="0" fontId="19" fillId="9" borderId="14" xfId="0" applyFont="1" applyFill="1" applyBorder="1" applyAlignment="1">
      <alignment horizontal="center" vertical="top"/>
    </xf>
    <xf numFmtId="0" fontId="19" fillId="9" borderId="13" xfId="0" applyFont="1" applyFill="1" applyBorder="1" applyAlignment="1">
      <alignment horizontal="center" vertical="top"/>
    </xf>
    <xf numFmtId="0" fontId="18" fillId="8" borderId="12" xfId="0" applyFont="1" applyFill="1" applyBorder="1" applyAlignment="1">
      <alignment horizontal="center" vertical="center" wrapText="1"/>
    </xf>
    <xf numFmtId="0" fontId="18" fillId="8" borderId="2" xfId="0" applyFont="1" applyFill="1" applyBorder="1" applyAlignment="1">
      <alignment horizontal="center" vertical="center" wrapText="1"/>
    </xf>
    <xf numFmtId="0" fontId="24" fillId="0" borderId="1" xfId="0" applyFont="1" applyBorder="1"/>
    <xf numFmtId="0" fontId="24" fillId="0" borderId="0" xfId="0" applyFont="1" applyBorder="1"/>
    <xf numFmtId="39" fontId="24" fillId="7" borderId="2" xfId="0" applyNumberFormat="1" applyFont="1" applyFill="1" applyBorder="1" applyAlignment="1">
      <alignment horizontal="right"/>
    </xf>
    <xf numFmtId="170" fontId="26" fillId="7" borderId="7" xfId="0" applyNumberFormat="1" applyFont="1" applyFill="1" applyBorder="1" applyAlignment="1">
      <alignment horizontal="right"/>
    </xf>
    <xf numFmtId="0" fontId="24" fillId="0" borderId="7" xfId="0" applyFont="1" applyBorder="1"/>
    <xf numFmtId="170" fontId="27" fillId="4" borderId="7" xfId="2" applyNumberFormat="1" applyFont="1" applyFill="1" applyBorder="1" applyAlignment="1">
      <alignment horizontal="right"/>
    </xf>
    <xf numFmtId="0" fontId="25" fillId="3" borderId="3" xfId="0" applyFont="1" applyFill="1" applyBorder="1" applyAlignment="1">
      <alignment horizontal="center"/>
    </xf>
    <xf numFmtId="0" fontId="25" fillId="3" borderId="4" xfId="0" applyFont="1" applyFill="1" applyBorder="1" applyAlignment="1">
      <alignment horizontal="center"/>
    </xf>
    <xf numFmtId="0" fontId="25" fillId="3" borderId="4" xfId="0" applyFont="1" applyFill="1" applyBorder="1" applyAlignment="1">
      <alignment horizontal="right"/>
    </xf>
    <xf numFmtId="0" fontId="25" fillId="3" borderId="5" xfId="0" applyFont="1" applyFill="1" applyBorder="1" applyAlignment="1">
      <alignment horizontal="right"/>
    </xf>
    <xf numFmtId="0" fontId="27" fillId="3" borderId="6" xfId="0" applyFont="1" applyFill="1" applyBorder="1" applyAlignment="1">
      <alignment horizontal="left"/>
    </xf>
    <xf numFmtId="0" fontId="26" fillId="3" borderId="7" xfId="0" applyFont="1" applyFill="1" applyBorder="1" applyAlignment="1">
      <alignment horizontal="right"/>
    </xf>
    <xf numFmtId="0" fontId="27" fillId="0" borderId="6" xfId="0" applyFont="1" applyBorder="1" applyAlignment="1">
      <alignment horizontal="left"/>
    </xf>
    <xf numFmtId="0" fontId="24" fillId="0" borderId="6" xfId="0" applyFont="1" applyBorder="1" applyAlignment="1">
      <alignment horizontal="left"/>
    </xf>
    <xf numFmtId="170" fontId="27" fillId="4" borderId="6" xfId="2" applyNumberFormat="1" applyFont="1" applyFill="1" applyBorder="1" applyAlignment="1">
      <alignment horizontal="left"/>
    </xf>
    <xf numFmtId="170" fontId="27" fillId="4" borderId="8" xfId="2" applyNumberFormat="1" applyFont="1" applyFill="1" applyBorder="1" applyAlignment="1">
      <alignment horizontal="left"/>
    </xf>
    <xf numFmtId="170" fontId="27" fillId="4" borderId="9" xfId="2" applyNumberFormat="1" applyFont="1" applyFill="1" applyBorder="1" applyAlignment="1">
      <alignment horizontal="right"/>
    </xf>
    <xf numFmtId="170" fontId="27" fillId="4" borderId="10" xfId="2" applyNumberFormat="1" applyFont="1" applyFill="1" applyBorder="1" applyAlignment="1">
      <alignment horizontal="right"/>
    </xf>
    <xf numFmtId="0" fontId="27" fillId="3" borderId="3" xfId="0" applyFont="1" applyFill="1" applyBorder="1" applyAlignment="1">
      <alignment horizontal="left"/>
    </xf>
    <xf numFmtId="0" fontId="26" fillId="3" borderId="4" xfId="0" applyFont="1" applyFill="1" applyBorder="1" applyAlignment="1">
      <alignment horizontal="right"/>
    </xf>
    <xf numFmtId="0" fontId="26" fillId="3" borderId="5" xfId="0" applyFont="1" applyFill="1" applyBorder="1" applyAlignment="1">
      <alignment horizontal="right"/>
    </xf>
    <xf numFmtId="37" fontId="24" fillId="0" borderId="7" xfId="2" applyNumberFormat="1" applyFont="1" applyFill="1" applyBorder="1" applyAlignment="1">
      <alignment horizontal="right"/>
    </xf>
    <xf numFmtId="37" fontId="27" fillId="4" borderId="7" xfId="2" applyNumberFormat="1" applyFont="1" applyFill="1" applyBorder="1" applyAlignment="1">
      <alignment horizontal="right"/>
    </xf>
    <xf numFmtId="0" fontId="24" fillId="0" borderId="8" xfId="0" applyFont="1" applyBorder="1" applyAlignment="1">
      <alignment horizontal="left"/>
    </xf>
    <xf numFmtId="39" fontId="27" fillId="4" borderId="9" xfId="2" applyNumberFormat="1" applyFont="1" applyFill="1" applyBorder="1" applyAlignment="1">
      <alignment horizontal="right"/>
    </xf>
    <xf numFmtId="39" fontId="27" fillId="4" borderId="10" xfId="2" applyNumberFormat="1" applyFont="1" applyFill="1" applyBorder="1" applyAlignment="1">
      <alignment horizontal="right"/>
    </xf>
    <xf numFmtId="0" fontId="32" fillId="13" borderId="35" xfId="0" applyFont="1" applyFill="1" applyBorder="1" applyAlignment="1">
      <alignment horizontal="right" vertical="center" wrapText="1"/>
    </xf>
    <xf numFmtId="166" fontId="27" fillId="0" borderId="6" xfId="0" applyNumberFormat="1" applyFont="1" applyBorder="1" applyAlignment="1">
      <alignment horizontal="left"/>
    </xf>
    <xf numFmtId="170" fontId="27" fillId="7" borderId="7" xfId="2" applyNumberFormat="1" applyFont="1" applyFill="1" applyBorder="1" applyAlignment="1">
      <alignment horizontal="right"/>
    </xf>
    <xf numFmtId="166" fontId="24" fillId="0" borderId="6" xfId="0" applyNumberFormat="1" applyFont="1" applyBorder="1" applyAlignment="1">
      <alignment horizontal="left"/>
    </xf>
    <xf numFmtId="170" fontId="24" fillId="4" borderId="7" xfId="2" applyNumberFormat="1" applyFont="1" applyFill="1" applyBorder="1" applyAlignment="1">
      <alignment horizontal="right"/>
    </xf>
    <xf numFmtId="172" fontId="24" fillId="4" borderId="7" xfId="2" applyNumberFormat="1" applyFont="1" applyFill="1" applyBorder="1" applyAlignment="1">
      <alignment horizontal="right"/>
    </xf>
    <xf numFmtId="167" fontId="24" fillId="0" borderId="6" xfId="0" applyNumberFormat="1" applyFont="1" applyBorder="1" applyAlignment="1">
      <alignment horizontal="left"/>
    </xf>
    <xf numFmtId="0" fontId="28" fillId="0" borderId="6" xfId="0" applyFont="1" applyBorder="1" applyAlignment="1">
      <alignment horizontal="left"/>
    </xf>
    <xf numFmtId="170" fontId="24" fillId="4" borderId="9" xfId="2" applyNumberFormat="1" applyFont="1" applyFill="1" applyBorder="1" applyAlignment="1">
      <alignment horizontal="right"/>
    </xf>
    <xf numFmtId="0" fontId="27" fillId="3" borderId="15" xfId="0" applyFont="1" applyFill="1" applyBorder="1" applyAlignment="1">
      <alignment horizontal="center"/>
    </xf>
    <xf numFmtId="0" fontId="27" fillId="3" borderId="14" xfId="0" applyFont="1" applyFill="1" applyBorder="1" applyAlignment="1">
      <alignment horizontal="center"/>
    </xf>
    <xf numFmtId="0" fontId="27" fillId="3" borderId="18" xfId="0" applyFont="1" applyFill="1" applyBorder="1" applyAlignment="1">
      <alignment horizontal="center"/>
    </xf>
  </cellXfs>
  <cellStyles count="4">
    <cellStyle name="Comma" xfId="2" builtinId="3"/>
    <cellStyle name="Comma 2" xfId="3" xr:uid="{00000000-0005-0000-0000-000001000000}"/>
    <cellStyle name="Normal" xfId="0" builtinId="0"/>
    <cellStyle name="Percent" xfId="1" builtinId="5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7F7F7F"/>
      <rgbColor rgb="00BFBFBF"/>
      <rgbColor rgb="00FFFF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82C83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.docs.live.net/Users/insiya/Downloads/Aarvi%20Encon%20-%20Summary%20Sheet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onsolidated"/>
      <sheetName val="Standalone"/>
      <sheetName val="Sheet3"/>
    </sheetNames>
    <sheetDataSet>
      <sheetData sheetId="0"/>
      <sheetData sheetId="1"/>
      <sheetData sheetId="2">
        <row r="63">
          <cell r="B63">
            <v>280.56</v>
          </cell>
          <cell r="C63">
            <v>204.68100000000004</v>
          </cell>
          <cell r="D63">
            <v>212.88299999999992</v>
          </cell>
          <cell r="E63">
            <v>29.073000000000036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U96"/>
  <sheetViews>
    <sheetView view="pageBreakPreview" topLeftCell="F1" zoomScale="80" zoomScaleNormal="85" zoomScaleSheetLayoutView="80" workbookViewId="0">
      <pane ySplit="3" topLeftCell="A4" activePane="bottomLeft" state="frozen"/>
      <selection activeCell="H26" sqref="H26"/>
      <selection pane="bottomLeft" activeCell="J66" sqref="J66"/>
    </sheetView>
  </sheetViews>
  <sheetFormatPr defaultColWidth="9.109375" defaultRowHeight="15" customHeight="1"/>
  <cols>
    <col min="1" max="1" width="50.88671875" style="1" bestFit="1" customWidth="1"/>
    <col min="2" max="3" width="12.5546875" style="18" hidden="1" customWidth="1"/>
    <col min="4" max="4" width="10.88671875" style="18" hidden="1" customWidth="1"/>
    <col min="5" max="5" width="12.5546875" style="18" hidden="1" customWidth="1"/>
    <col min="6" max="6" width="12.5546875" style="1" customWidth="1"/>
    <col min="7" max="8" width="12.5546875" style="18" customWidth="1"/>
    <col min="9" max="9" width="15.5546875" style="18" bestFit="1" customWidth="1"/>
    <col min="10" max="10" width="15.5546875" style="18" customWidth="1"/>
    <col min="11" max="11" width="3.88671875" style="1" customWidth="1"/>
    <col min="12" max="12" width="41.5546875" style="1" bestFit="1" customWidth="1"/>
    <col min="13" max="16" width="12.5546875" style="18" hidden="1" customWidth="1"/>
    <col min="17" max="17" width="12.5546875" style="1" customWidth="1"/>
    <col min="18" max="18" width="12.5546875" style="27" customWidth="1"/>
    <col min="19" max="19" width="12.5546875" style="1" customWidth="1"/>
    <col min="20" max="20" width="15.5546875" style="1" customWidth="1"/>
    <col min="21" max="21" width="17.44140625" style="1" bestFit="1" customWidth="1"/>
    <col min="22" max="16384" width="9.109375" style="1"/>
  </cols>
  <sheetData>
    <row r="1" spans="1:21" ht="15" customHeight="1" thickBot="1">
      <c r="A1" s="343" t="s">
        <v>169</v>
      </c>
      <c r="B1" s="344"/>
      <c r="C1" s="344"/>
      <c r="D1" s="344"/>
      <c r="E1" s="344"/>
      <c r="F1" s="344"/>
      <c r="G1" s="344"/>
      <c r="H1" s="344"/>
      <c r="I1" s="344"/>
      <c r="J1" s="344"/>
      <c r="K1" s="344"/>
      <c r="L1" s="344"/>
      <c r="M1" s="344"/>
      <c r="N1" s="344"/>
      <c r="O1" s="344"/>
      <c r="P1" s="344"/>
      <c r="Q1" s="344"/>
      <c r="R1" s="344"/>
      <c r="S1" s="344"/>
      <c r="T1" s="345"/>
    </row>
    <row r="2" spans="1:21" ht="15" customHeight="1">
      <c r="A2" s="340" t="s">
        <v>99</v>
      </c>
      <c r="B2" s="341"/>
      <c r="C2" s="341"/>
      <c r="D2" s="341"/>
      <c r="E2" s="341"/>
      <c r="F2" s="341"/>
      <c r="G2" s="341"/>
      <c r="H2" s="341"/>
      <c r="I2" s="342"/>
      <c r="J2" s="150"/>
      <c r="K2" s="19"/>
      <c r="L2" s="340" t="s">
        <v>100</v>
      </c>
      <c r="M2" s="341"/>
      <c r="N2" s="341"/>
      <c r="O2" s="341"/>
      <c r="P2" s="341"/>
      <c r="Q2" s="341"/>
      <c r="R2" s="341"/>
      <c r="S2" s="341"/>
      <c r="T2" s="342"/>
    </row>
    <row r="3" spans="1:21" ht="15" customHeight="1">
      <c r="A3" s="46" t="s">
        <v>0</v>
      </c>
      <c r="B3" s="52" t="s">
        <v>31</v>
      </c>
      <c r="C3" s="52" t="s">
        <v>32</v>
      </c>
      <c r="D3" s="52" t="s">
        <v>33</v>
      </c>
      <c r="E3" s="52" t="s">
        <v>34</v>
      </c>
      <c r="F3" s="52" t="s">
        <v>85</v>
      </c>
      <c r="G3" s="2" t="s">
        <v>90</v>
      </c>
      <c r="H3" s="151" t="s">
        <v>163</v>
      </c>
      <c r="I3" s="151" t="s">
        <v>165</v>
      </c>
      <c r="J3" s="2" t="s">
        <v>204</v>
      </c>
      <c r="K3" s="19"/>
      <c r="L3" s="46" t="s">
        <v>0</v>
      </c>
      <c r="M3" s="52" t="s">
        <v>31</v>
      </c>
      <c r="N3" s="52" t="s">
        <v>32</v>
      </c>
      <c r="O3" s="52" t="s">
        <v>33</v>
      </c>
      <c r="P3" s="52" t="s">
        <v>34</v>
      </c>
      <c r="Q3" s="52" t="s">
        <v>85</v>
      </c>
      <c r="R3" s="3" t="s">
        <v>90</v>
      </c>
      <c r="S3" s="2" t="s">
        <v>163</v>
      </c>
      <c r="T3" s="163" t="s">
        <v>204</v>
      </c>
    </row>
    <row r="4" spans="1:21" ht="15" customHeight="1">
      <c r="A4" s="32" t="s">
        <v>1</v>
      </c>
      <c r="B4" s="4"/>
      <c r="C4" s="5">
        <v>2965.5232860000001</v>
      </c>
      <c r="D4" s="5">
        <v>2985.2313610000001</v>
      </c>
      <c r="E4" s="5"/>
      <c r="F4" s="209">
        <v>1688.7639999999999</v>
      </c>
      <c r="G4" s="210">
        <v>1919.3510000000001</v>
      </c>
      <c r="H4" s="210">
        <v>1912.14</v>
      </c>
      <c r="I4" s="241">
        <v>425.262</v>
      </c>
      <c r="J4" s="210">
        <v>861.952</v>
      </c>
      <c r="K4" s="178"/>
      <c r="L4" s="33" t="s">
        <v>36</v>
      </c>
      <c r="M4" s="6"/>
      <c r="N4" s="6"/>
      <c r="O4" s="7">
        <v>317.43792999999999</v>
      </c>
      <c r="P4" s="7"/>
      <c r="Q4" s="213">
        <v>147.84</v>
      </c>
      <c r="R4" s="213">
        <v>147.84</v>
      </c>
      <c r="S4" s="212">
        <v>147.84</v>
      </c>
      <c r="T4" s="212">
        <v>147.84</v>
      </c>
    </row>
    <row r="5" spans="1:21" ht="15" customHeight="1">
      <c r="A5" s="34" t="s">
        <v>2</v>
      </c>
      <c r="B5" s="59"/>
      <c r="C5" s="54" t="e">
        <f>(#REF!/#REF!-1)</f>
        <v>#REF!</v>
      </c>
      <c r="D5" s="54">
        <f>(D4/C4-1)</f>
        <v>6.6457326749178591E-3</v>
      </c>
      <c r="E5" s="54">
        <f t="shared" ref="E5:H5" si="0">(E4/D4-1)</f>
        <v>-1</v>
      </c>
      <c r="F5" s="54" t="e">
        <f t="shared" si="0"/>
        <v>#DIV/0!</v>
      </c>
      <c r="G5" s="54">
        <f t="shared" si="0"/>
        <v>0.13654187322799416</v>
      </c>
      <c r="H5" s="152">
        <f t="shared" si="0"/>
        <v>-3.7569991106368716E-3</v>
      </c>
      <c r="I5" s="152">
        <f>I4/H4-1</f>
        <v>-0.77759892058112901</v>
      </c>
      <c r="J5" s="54">
        <f>J4/I4-1</f>
        <v>1.0268728454458662</v>
      </c>
      <c r="L5" s="33" t="s">
        <v>37</v>
      </c>
      <c r="M5" s="6"/>
      <c r="N5" s="6"/>
      <c r="O5" s="7">
        <v>1776.7191660000001</v>
      </c>
      <c r="P5" s="7"/>
      <c r="Q5" s="213">
        <v>434.23399999999998</v>
      </c>
      <c r="R5" s="213">
        <v>483.74799999999999</v>
      </c>
      <c r="S5" s="212">
        <v>503.56700000000001</v>
      </c>
      <c r="T5" s="166">
        <v>524.65300000000002</v>
      </c>
    </row>
    <row r="6" spans="1:21" ht="15" customHeight="1">
      <c r="A6" s="34" t="s">
        <v>108</v>
      </c>
      <c r="B6" s="9"/>
      <c r="C6" s="11"/>
      <c r="D6" s="11"/>
      <c r="E6" s="11"/>
      <c r="F6" s="10"/>
      <c r="G6" s="1"/>
      <c r="H6" s="152">
        <f>+((H4/F4)^(1/2)-1)</f>
        <v>6.4082650183281187E-2</v>
      </c>
      <c r="I6" s="152">
        <f>+((I4/F4)^(1/3)-1)</f>
        <v>-0.36851572799534082</v>
      </c>
      <c r="J6" s="54">
        <f>+((J4/G4)^(1/3)-1)</f>
        <v>-0.2342102316760013</v>
      </c>
      <c r="L6" s="81" t="s">
        <v>38</v>
      </c>
      <c r="M6" s="69">
        <f t="shared" ref="M6:S6" si="1">(M4+M5)</f>
        <v>0</v>
      </c>
      <c r="N6" s="69">
        <f t="shared" si="1"/>
        <v>0</v>
      </c>
      <c r="O6" s="60">
        <f t="shared" si="1"/>
        <v>2094.1570959999999</v>
      </c>
      <c r="P6" s="60">
        <f t="shared" si="1"/>
        <v>0</v>
      </c>
      <c r="Q6" s="60">
        <f t="shared" si="1"/>
        <v>582.07399999999996</v>
      </c>
      <c r="R6" s="60">
        <f t="shared" si="1"/>
        <v>631.58799999999997</v>
      </c>
      <c r="S6" s="60">
        <f t="shared" si="1"/>
        <v>651.40700000000004</v>
      </c>
      <c r="T6" s="167">
        <f t="shared" ref="T6" si="2">(T4+T5)</f>
        <v>672.49300000000005</v>
      </c>
    </row>
    <row r="7" spans="1:21" ht="15" customHeight="1">
      <c r="A7" s="32" t="s">
        <v>3</v>
      </c>
      <c r="B7" s="69">
        <f t="shared" ref="B7:J7" si="3">SUM(B8:B12)</f>
        <v>0</v>
      </c>
      <c r="C7" s="60">
        <f t="shared" si="3"/>
        <v>2516.8966760000003</v>
      </c>
      <c r="D7" s="60">
        <f t="shared" si="3"/>
        <v>2519.6023679999998</v>
      </c>
      <c r="E7" s="60">
        <f t="shared" si="3"/>
        <v>0</v>
      </c>
      <c r="F7" s="60">
        <f t="shared" si="3"/>
        <v>1602.86043</v>
      </c>
      <c r="G7" s="60">
        <f t="shared" si="3"/>
        <v>1836.5920000000001</v>
      </c>
      <c r="H7" s="153">
        <f t="shared" si="3"/>
        <v>1854.4829999999999</v>
      </c>
      <c r="I7" s="153">
        <f t="shared" si="3"/>
        <v>403.09399999999994</v>
      </c>
      <c r="J7" s="60">
        <f t="shared" si="3"/>
        <v>818.62800000000004</v>
      </c>
      <c r="L7" s="33" t="s">
        <v>39</v>
      </c>
      <c r="M7" s="6">
        <v>0</v>
      </c>
      <c r="N7" s="6"/>
      <c r="O7" s="7"/>
      <c r="P7" s="7"/>
      <c r="Q7" s="7"/>
      <c r="R7" s="7"/>
      <c r="S7" s="7"/>
      <c r="T7" s="166"/>
    </row>
    <row r="8" spans="1:21" ht="15" customHeight="1">
      <c r="A8" s="33" t="s">
        <v>153</v>
      </c>
      <c r="B8" s="12"/>
      <c r="C8" s="7">
        <v>1290.3108099999999</v>
      </c>
      <c r="D8" s="7">
        <v>1476.0810570000001</v>
      </c>
      <c r="E8" s="7"/>
      <c r="F8" s="7"/>
      <c r="G8" s="7"/>
      <c r="H8" s="154"/>
      <c r="I8" s="154"/>
      <c r="J8" s="7"/>
      <c r="L8" s="33" t="s">
        <v>40</v>
      </c>
      <c r="M8" s="225"/>
      <c r="N8" s="225"/>
      <c r="O8" s="220">
        <v>165.77601200000001</v>
      </c>
      <c r="P8" s="220"/>
      <c r="Q8" s="206">
        <v>2.02</v>
      </c>
      <c r="R8" s="206">
        <v>1.0549999999999999</v>
      </c>
      <c r="S8" s="206">
        <v>0.111</v>
      </c>
      <c r="T8" s="166">
        <v>0</v>
      </c>
    </row>
    <row r="9" spans="1:21" ht="15" customHeight="1">
      <c r="A9" s="33" t="s">
        <v>154</v>
      </c>
      <c r="B9" s="12"/>
      <c r="C9" s="7">
        <v>17.202090999999999</v>
      </c>
      <c r="D9" s="7">
        <v>-108.61538899999999</v>
      </c>
      <c r="E9" s="7"/>
      <c r="F9" s="7"/>
      <c r="G9" s="7"/>
      <c r="H9" s="154"/>
      <c r="I9" s="154"/>
      <c r="J9" s="7"/>
      <c r="L9" s="33" t="s">
        <v>41</v>
      </c>
      <c r="M9" s="6"/>
      <c r="N9" s="6"/>
      <c r="O9" s="7">
        <v>704.25010099999997</v>
      </c>
      <c r="P9" s="7"/>
      <c r="Q9" s="207">
        <v>34.918999999999997</v>
      </c>
      <c r="R9" s="207">
        <v>69.956999999999994</v>
      </c>
      <c r="S9" s="207">
        <v>87.41</v>
      </c>
      <c r="T9" s="166">
        <v>0</v>
      </c>
    </row>
    <row r="10" spans="1:21" ht="15" customHeight="1">
      <c r="A10" s="33" t="s">
        <v>155</v>
      </c>
      <c r="B10" s="12"/>
      <c r="C10" s="7"/>
      <c r="D10" s="7"/>
      <c r="E10" s="7"/>
      <c r="F10" s="7"/>
      <c r="G10" s="7"/>
      <c r="H10" s="154"/>
      <c r="I10" s="154"/>
      <c r="J10" s="7"/>
      <c r="L10" s="81" t="s">
        <v>42</v>
      </c>
      <c r="M10" s="69">
        <f t="shared" ref="M10:T10" si="4">(M8+M9)</f>
        <v>0</v>
      </c>
      <c r="N10" s="69">
        <f t="shared" si="4"/>
        <v>0</v>
      </c>
      <c r="O10" s="60">
        <f t="shared" si="4"/>
        <v>870.02611300000001</v>
      </c>
      <c r="P10" s="60">
        <f t="shared" si="4"/>
        <v>0</v>
      </c>
      <c r="Q10" s="60">
        <f t="shared" si="4"/>
        <v>36.939</v>
      </c>
      <c r="R10" s="60">
        <f t="shared" si="4"/>
        <v>71.012</v>
      </c>
      <c r="S10" s="60">
        <f t="shared" si="4"/>
        <v>87.521000000000001</v>
      </c>
      <c r="T10" s="167">
        <f t="shared" si="4"/>
        <v>0</v>
      </c>
    </row>
    <row r="11" spans="1:21" ht="15" customHeight="1">
      <c r="A11" s="33" t="s">
        <v>67</v>
      </c>
      <c r="B11" s="12"/>
      <c r="C11" s="7">
        <v>254.66924700000001</v>
      </c>
      <c r="D11" s="7">
        <v>346.67805299999998</v>
      </c>
      <c r="E11" s="7"/>
      <c r="F11" s="211">
        <v>1571.1579999999999</v>
      </c>
      <c r="G11" s="212">
        <v>1370.7750000000001</v>
      </c>
      <c r="H11" s="212">
        <v>1428.5029999999999</v>
      </c>
      <c r="I11" s="242">
        <v>332.15499999999997</v>
      </c>
      <c r="J11" s="212">
        <v>680.096</v>
      </c>
      <c r="L11" s="81" t="s">
        <v>43</v>
      </c>
      <c r="M11" s="69">
        <f>(M6+M8+M7+M53)</f>
        <v>0</v>
      </c>
      <c r="N11" s="69">
        <f>(N6+N8+N7+N53)</f>
        <v>0</v>
      </c>
      <c r="O11" s="60">
        <f>(O6+O8+O7+O53+O50)</f>
        <v>2322.4877259999998</v>
      </c>
      <c r="P11" s="60">
        <f>(P6+P8+P7+P53+P50)</f>
        <v>0</v>
      </c>
      <c r="Q11" s="60">
        <f>(Q6+Q8+Q7+Q53+Q50+Q51+Q52+Q54)</f>
        <v>618.90899999999988</v>
      </c>
      <c r="R11" s="60">
        <f>(R6+R8+R7+R51+R52+R53+R54+R50)</f>
        <v>668.72599999999989</v>
      </c>
      <c r="S11" s="60">
        <f>(S6+S8+S7+S51+S52+S53+S54+S50)</f>
        <v>669.67700000000002</v>
      </c>
      <c r="T11" s="60">
        <f>(T6+T8+T7+T50+T51+T52+T53)</f>
        <v>686.82</v>
      </c>
    </row>
    <row r="12" spans="1:21" ht="15" customHeight="1">
      <c r="A12" s="33" t="s">
        <v>68</v>
      </c>
      <c r="B12" s="12"/>
      <c r="C12" s="7">
        <v>954.71452799999997</v>
      </c>
      <c r="D12" s="7">
        <v>805.45864700000004</v>
      </c>
      <c r="E12" s="7"/>
      <c r="F12" s="211">
        <v>31.70243</v>
      </c>
      <c r="G12" s="212">
        <v>465.81700000000001</v>
      </c>
      <c r="H12" s="212">
        <v>425.98</v>
      </c>
      <c r="I12" s="242">
        <v>70.938999999999993</v>
      </c>
      <c r="J12" s="212">
        <v>138.53200000000001</v>
      </c>
      <c r="L12" s="81" t="s">
        <v>43</v>
      </c>
      <c r="M12" s="70">
        <f t="shared" ref="M12:S12" si="5">M55-M41-M9</f>
        <v>0</v>
      </c>
      <c r="N12" s="70">
        <f t="shared" si="5"/>
        <v>0</v>
      </c>
      <c r="O12" s="60">
        <f t="shared" si="5"/>
        <v>2124.1436920000001</v>
      </c>
      <c r="P12" s="60">
        <f t="shared" si="5"/>
        <v>0</v>
      </c>
      <c r="Q12" s="60">
        <f t="shared" si="5"/>
        <v>618.88100000000009</v>
      </c>
      <c r="R12" s="60">
        <f t="shared" si="5"/>
        <v>668.72100000000012</v>
      </c>
      <c r="S12" s="60">
        <f t="shared" si="5"/>
        <v>669.67199999999991</v>
      </c>
      <c r="T12" s="60">
        <f>T55-T41-T9</f>
        <v>686.81799999999998</v>
      </c>
    </row>
    <row r="13" spans="1:21" ht="15" customHeight="1">
      <c r="A13" s="32" t="s">
        <v>4</v>
      </c>
      <c r="B13" s="53">
        <f t="shared" ref="B13:J13" si="6">(B4-B7)</f>
        <v>0</v>
      </c>
      <c r="C13" s="53">
        <f t="shared" si="6"/>
        <v>448.6266099999998</v>
      </c>
      <c r="D13" s="53">
        <f t="shared" si="6"/>
        <v>465.62899300000026</v>
      </c>
      <c r="E13" s="53">
        <f t="shared" si="6"/>
        <v>0</v>
      </c>
      <c r="F13" s="53">
        <f t="shared" si="6"/>
        <v>85.903569999999945</v>
      </c>
      <c r="G13" s="53">
        <f t="shared" si="6"/>
        <v>82.759000000000015</v>
      </c>
      <c r="H13" s="155">
        <f t="shared" si="6"/>
        <v>57.657000000000153</v>
      </c>
      <c r="I13" s="155">
        <f t="shared" si="6"/>
        <v>22.168000000000063</v>
      </c>
      <c r="J13" s="53">
        <f t="shared" si="6"/>
        <v>43.323999999999955</v>
      </c>
      <c r="L13" s="33"/>
      <c r="M13" s="14"/>
      <c r="N13" s="14"/>
      <c r="O13" s="7"/>
      <c r="P13" s="7"/>
      <c r="Q13" s="7"/>
      <c r="R13" s="7"/>
      <c r="S13" s="7"/>
      <c r="T13" s="166"/>
      <c r="U13" s="13"/>
    </row>
    <row r="14" spans="1:21" ht="15" customHeight="1">
      <c r="A14" s="34" t="s">
        <v>2</v>
      </c>
      <c r="B14" s="59"/>
      <c r="C14" s="54" t="e">
        <f>(C13/B13-1)</f>
        <v>#DIV/0!</v>
      </c>
      <c r="D14" s="54">
        <f t="shared" ref="D14:J14" si="7">(D13/C13-1)</f>
        <v>3.7898739443922969E-2</v>
      </c>
      <c r="E14" s="54">
        <f t="shared" si="7"/>
        <v>-1</v>
      </c>
      <c r="F14" s="54" t="e">
        <f t="shared" si="7"/>
        <v>#DIV/0!</v>
      </c>
      <c r="G14" s="54">
        <f t="shared" si="7"/>
        <v>-3.6605812773554458E-2</v>
      </c>
      <c r="H14" s="152">
        <f t="shared" si="7"/>
        <v>-0.30331444314213385</v>
      </c>
      <c r="I14" s="152">
        <f t="shared" si="7"/>
        <v>-0.61551936451775147</v>
      </c>
      <c r="J14" s="54">
        <f t="shared" si="7"/>
        <v>0.95434861060988063</v>
      </c>
      <c r="L14" s="83" t="s">
        <v>87</v>
      </c>
      <c r="M14" s="85"/>
      <c r="N14" s="85"/>
      <c r="O14" s="84">
        <v>1481.9677489999999</v>
      </c>
      <c r="P14" s="84"/>
      <c r="Q14" s="84"/>
      <c r="R14" s="84"/>
      <c r="S14" s="84"/>
      <c r="T14" s="165"/>
    </row>
    <row r="15" spans="1:21" ht="15" customHeight="1">
      <c r="A15" s="34" t="s">
        <v>108</v>
      </c>
      <c r="B15" s="9"/>
      <c r="C15" s="10"/>
      <c r="D15" s="10"/>
      <c r="E15" s="10"/>
      <c r="F15" s="10"/>
      <c r="G15" s="10"/>
      <c r="H15" s="152">
        <f>+((H13/F13)^(1/3)-1)</f>
        <v>-0.12445136304554516</v>
      </c>
      <c r="I15" s="152">
        <f>+((I13/F13)^(1/3)-1)</f>
        <v>-0.36334361344135468</v>
      </c>
      <c r="J15" s="54">
        <f>+((J13/G13)^(1/3)-1)</f>
        <v>-0.19405679581732305</v>
      </c>
      <c r="L15" s="81" t="s">
        <v>102</v>
      </c>
      <c r="M15" s="82"/>
      <c r="N15" s="82"/>
      <c r="O15" s="60">
        <f t="shared" ref="O15:T15" si="8">SUM(O16:O27)</f>
        <v>1214.5796989999999</v>
      </c>
      <c r="P15" s="60">
        <f t="shared" si="8"/>
        <v>0</v>
      </c>
      <c r="Q15" s="60">
        <f t="shared" si="8"/>
        <v>338.32100000000003</v>
      </c>
      <c r="R15" s="60">
        <f t="shared" si="8"/>
        <v>464.04000000000008</v>
      </c>
      <c r="S15" s="60">
        <f t="shared" si="8"/>
        <v>456.78899999999999</v>
      </c>
      <c r="T15" s="167">
        <f t="shared" si="8"/>
        <v>401.03</v>
      </c>
    </row>
    <row r="16" spans="1:21" ht="15" customHeight="1">
      <c r="A16" s="32" t="s">
        <v>5</v>
      </c>
      <c r="B16" s="55" t="e">
        <f t="shared" ref="B16:J16" si="9">(B13/B4)</f>
        <v>#DIV/0!</v>
      </c>
      <c r="C16" s="55">
        <f t="shared" si="9"/>
        <v>0.15128075780687017</v>
      </c>
      <c r="D16" s="55">
        <f t="shared" si="9"/>
        <v>0.15597752290932074</v>
      </c>
      <c r="E16" s="55" t="e">
        <f t="shared" si="9"/>
        <v>#DIV/0!</v>
      </c>
      <c r="F16" s="55">
        <f t="shared" si="9"/>
        <v>5.0867717454895975E-2</v>
      </c>
      <c r="G16" s="55">
        <f t="shared" si="9"/>
        <v>4.3118220690222898E-2</v>
      </c>
      <c r="H16" s="156">
        <f t="shared" si="9"/>
        <v>3.0153126863095878E-2</v>
      </c>
      <c r="I16" s="156">
        <f t="shared" si="9"/>
        <v>5.2127864704582264E-2</v>
      </c>
      <c r="J16" s="55">
        <f t="shared" si="9"/>
        <v>5.0262659637659586E-2</v>
      </c>
      <c r="L16" s="33" t="s">
        <v>91</v>
      </c>
      <c r="M16" s="6"/>
      <c r="N16" s="6"/>
      <c r="O16" s="7">
        <v>1059.7221179999999</v>
      </c>
      <c r="P16" s="7"/>
      <c r="Q16" s="213">
        <v>63.845999999999997</v>
      </c>
      <c r="R16" s="213">
        <v>112.958</v>
      </c>
      <c r="S16" s="212">
        <v>105.369</v>
      </c>
      <c r="T16" s="166">
        <v>101.158</v>
      </c>
    </row>
    <row r="17" spans="1:20" ht="15" customHeight="1">
      <c r="A17" s="33" t="s">
        <v>6</v>
      </c>
      <c r="B17" s="6"/>
      <c r="C17" s="7">
        <v>101.894226</v>
      </c>
      <c r="D17" s="7">
        <v>114.51939900000001</v>
      </c>
      <c r="E17" s="7"/>
      <c r="F17" s="213">
        <v>12.175140000000001</v>
      </c>
      <c r="G17" s="212">
        <v>12.096</v>
      </c>
      <c r="H17" s="212">
        <v>6.1980000000000004</v>
      </c>
      <c r="I17" s="242">
        <v>5.9180000000000001</v>
      </c>
      <c r="J17" s="212">
        <v>7.0579999999999998</v>
      </c>
      <c r="L17" s="33" t="s">
        <v>166</v>
      </c>
      <c r="M17" s="6"/>
      <c r="N17" s="6"/>
      <c r="O17" s="7"/>
      <c r="P17" s="7"/>
      <c r="Q17" s="213">
        <v>0.37</v>
      </c>
      <c r="R17" s="213">
        <v>0.41199999999999998</v>
      </c>
      <c r="S17" s="212">
        <v>0.34399999999999997</v>
      </c>
      <c r="T17" s="166">
        <v>0.30099999999999999</v>
      </c>
    </row>
    <row r="18" spans="1:20" ht="15" customHeight="1">
      <c r="A18" s="33" t="s">
        <v>7</v>
      </c>
      <c r="B18" s="6"/>
      <c r="C18" s="7">
        <v>67.671909999999997</v>
      </c>
      <c r="D18" s="7">
        <v>98.236097000000001</v>
      </c>
      <c r="E18" s="7"/>
      <c r="F18" s="213">
        <v>7.2283030000000004</v>
      </c>
      <c r="G18" s="212">
        <v>9.4269999999999996</v>
      </c>
      <c r="H18" s="212">
        <v>12.233000000000001</v>
      </c>
      <c r="I18" s="242">
        <v>2.649</v>
      </c>
      <c r="J18" s="212">
        <v>4.7919999999999998</v>
      </c>
      <c r="L18" s="33" t="s">
        <v>170</v>
      </c>
      <c r="M18" s="6"/>
      <c r="N18" s="6"/>
      <c r="O18" s="7"/>
      <c r="P18" s="7"/>
      <c r="Q18" s="7"/>
      <c r="R18" s="213">
        <v>0.82499999999999996</v>
      </c>
      <c r="S18" s="212">
        <v>1.1499999999999999</v>
      </c>
      <c r="T18" s="166">
        <v>0.96</v>
      </c>
    </row>
    <row r="19" spans="1:20" ht="15" customHeight="1">
      <c r="A19" s="33" t="s">
        <v>8</v>
      </c>
      <c r="B19" s="6"/>
      <c r="C19" s="7">
        <v>125.86139799999999</v>
      </c>
      <c r="D19" s="7">
        <v>131.66483400000001</v>
      </c>
      <c r="E19" s="7"/>
      <c r="F19" s="213">
        <v>10.279339999999999</v>
      </c>
      <c r="G19" s="212">
        <v>11.335000000000001</v>
      </c>
      <c r="H19" s="212">
        <v>16.010000000000002</v>
      </c>
      <c r="I19" s="242">
        <v>2.3250000000000002</v>
      </c>
      <c r="J19" s="212">
        <v>3.4769999999999999</v>
      </c>
      <c r="L19" s="33" t="s">
        <v>171</v>
      </c>
      <c r="M19" s="6"/>
      <c r="N19" s="6"/>
      <c r="O19" s="7">
        <v>46.100937000000002</v>
      </c>
      <c r="P19" s="7"/>
      <c r="Q19" s="213">
        <v>10.287000000000001</v>
      </c>
      <c r="R19" s="213">
        <v>8.1620000000000008</v>
      </c>
      <c r="S19" s="212">
        <v>6.0309999999999997</v>
      </c>
      <c r="T19" s="166">
        <v>0</v>
      </c>
    </row>
    <row r="20" spans="1:20" ht="15" customHeight="1">
      <c r="A20" s="33" t="s">
        <v>9</v>
      </c>
      <c r="B20" s="6"/>
      <c r="C20" s="7"/>
      <c r="D20" s="7"/>
      <c r="E20" s="7"/>
      <c r="F20" s="7"/>
      <c r="G20" s="7"/>
      <c r="H20" s="154"/>
      <c r="I20" s="154"/>
      <c r="J20" s="7"/>
      <c r="L20" s="33" t="s">
        <v>92</v>
      </c>
      <c r="M20" s="6"/>
      <c r="N20" s="6"/>
      <c r="O20" s="30">
        <v>0</v>
      </c>
      <c r="P20" s="30"/>
      <c r="Q20" s="7"/>
      <c r="R20" s="7"/>
      <c r="S20" s="7"/>
      <c r="T20" s="166"/>
    </row>
    <row r="21" spans="1:20" ht="15" customHeight="1">
      <c r="A21" s="32" t="s">
        <v>10</v>
      </c>
      <c r="B21" s="70">
        <f>(B13-B18-B19-B20)</f>
        <v>0</v>
      </c>
      <c r="C21" s="53">
        <f>(C13+C17-C18-C19-C20)</f>
        <v>356.98752799999977</v>
      </c>
      <c r="D21" s="53">
        <f t="shared" ref="D21:F21" si="10">(D13+D17-D18-D19-D20)</f>
        <v>350.24746100000027</v>
      </c>
      <c r="E21" s="53">
        <f t="shared" si="10"/>
        <v>0</v>
      </c>
      <c r="F21" s="53">
        <f t="shared" si="10"/>
        <v>80.571066999999942</v>
      </c>
      <c r="G21" s="53">
        <f>(G13+G17-G18-G19+G20)</f>
        <v>74.093000000000018</v>
      </c>
      <c r="H21" s="155">
        <f>(H13+H17-H18-H19+H20)</f>
        <v>35.612000000000151</v>
      </c>
      <c r="I21" s="155">
        <f>(I13+I17-I18-I19+I20)</f>
        <v>23.112000000000062</v>
      </c>
      <c r="J21" s="53">
        <f>(J13+J17-J18-J19+J20)</f>
        <v>42.112999999999957</v>
      </c>
      <c r="L21" s="33" t="s">
        <v>172</v>
      </c>
      <c r="M21" s="6"/>
      <c r="N21" s="6"/>
      <c r="O21" s="30">
        <v>0</v>
      </c>
      <c r="P21" s="30"/>
      <c r="Q21" s="213">
        <v>6.734</v>
      </c>
      <c r="R21" s="213">
        <v>6.7430000000000003</v>
      </c>
      <c r="S21" s="215">
        <v>6.7430000000000003</v>
      </c>
      <c r="T21" s="166">
        <v>6.7430000000000003</v>
      </c>
    </row>
    <row r="22" spans="1:20" ht="15" customHeight="1">
      <c r="A22" s="33" t="s">
        <v>11</v>
      </c>
      <c r="B22" s="6"/>
      <c r="C22" s="7">
        <f>84.840864+12.218329-5.206064</f>
        <v>91.853128999999996</v>
      </c>
      <c r="D22" s="7">
        <f>(88004592+5040204)/1000000</f>
        <v>93.044796000000005</v>
      </c>
      <c r="E22" s="7"/>
      <c r="F22" s="213">
        <v>18.96284</v>
      </c>
      <c r="G22" s="212">
        <v>15.215</v>
      </c>
      <c r="H22" s="212">
        <v>-2.2519999999999998</v>
      </c>
      <c r="I22" s="242">
        <v>2.387</v>
      </c>
      <c r="J22" s="212">
        <v>6.2430000000000003</v>
      </c>
      <c r="L22" s="33" t="s">
        <v>173</v>
      </c>
      <c r="M22" s="6"/>
      <c r="N22" s="6"/>
      <c r="O22" s="7"/>
      <c r="P22" s="7"/>
      <c r="Q22" s="213">
        <v>3.74</v>
      </c>
      <c r="R22" s="213">
        <v>8.657</v>
      </c>
      <c r="S22" s="212">
        <v>7.0869999999999997</v>
      </c>
      <c r="T22" s="166">
        <v>5.5759999999999996</v>
      </c>
    </row>
    <row r="23" spans="1:20" ht="15" customHeight="1">
      <c r="A23" s="34" t="s">
        <v>12</v>
      </c>
      <c r="B23" s="54" t="e">
        <f t="shared" ref="B23:J23" si="11">(B22/B21)</f>
        <v>#DIV/0!</v>
      </c>
      <c r="C23" s="54">
        <f t="shared" si="11"/>
        <v>0.25730066681769359</v>
      </c>
      <c r="D23" s="66">
        <f t="shared" si="11"/>
        <v>0.26565444824166745</v>
      </c>
      <c r="E23" s="66" t="e">
        <f t="shared" si="11"/>
        <v>#DIV/0!</v>
      </c>
      <c r="F23" s="66">
        <f t="shared" si="11"/>
        <v>0.23535545334158245</v>
      </c>
      <c r="G23" s="66">
        <f t="shared" si="11"/>
        <v>0.20535003306655145</v>
      </c>
      <c r="H23" s="157">
        <f t="shared" si="11"/>
        <v>-6.323711108615046E-2</v>
      </c>
      <c r="I23" s="157">
        <f t="shared" si="11"/>
        <v>0.10327968155070931</v>
      </c>
      <c r="J23" s="66">
        <f t="shared" si="11"/>
        <v>0.14824401016313268</v>
      </c>
      <c r="L23" s="40" t="s">
        <v>174</v>
      </c>
      <c r="M23" s="6"/>
      <c r="N23" s="6"/>
      <c r="O23" s="7">
        <v>6.2710439999999998</v>
      </c>
      <c r="P23" s="7"/>
      <c r="Q23" s="213">
        <v>119.532</v>
      </c>
      <c r="R23" s="213">
        <v>104.55500000000001</v>
      </c>
      <c r="S23" s="212">
        <v>89.504999999999995</v>
      </c>
      <c r="T23" s="166">
        <v>95.165999999999997</v>
      </c>
    </row>
    <row r="24" spans="1:20" ht="15" customHeight="1">
      <c r="A24" s="32" t="s">
        <v>13</v>
      </c>
      <c r="B24" s="70">
        <f t="shared" ref="B24:J24" si="12">(B21-B22)</f>
        <v>0</v>
      </c>
      <c r="C24" s="60">
        <f t="shared" si="12"/>
        <v>265.1343989999998</v>
      </c>
      <c r="D24" s="60">
        <f t="shared" si="12"/>
        <v>257.20266500000025</v>
      </c>
      <c r="E24" s="60"/>
      <c r="F24" s="60">
        <f t="shared" si="12"/>
        <v>61.608226999999943</v>
      </c>
      <c r="G24" s="60">
        <f t="shared" si="12"/>
        <v>58.878000000000014</v>
      </c>
      <c r="H24" s="153">
        <f t="shared" si="12"/>
        <v>37.864000000000154</v>
      </c>
      <c r="I24" s="153">
        <f t="shared" si="12"/>
        <v>20.725000000000062</v>
      </c>
      <c r="J24" s="60">
        <f t="shared" si="12"/>
        <v>35.869999999999955</v>
      </c>
      <c r="L24" s="40" t="s">
        <v>167</v>
      </c>
      <c r="M24" s="6"/>
      <c r="N24" s="6"/>
      <c r="O24" s="7">
        <v>102.48560000000001</v>
      </c>
      <c r="P24" s="7"/>
      <c r="Q24" s="7"/>
      <c r="R24" s="25"/>
      <c r="S24" s="25"/>
      <c r="T24" s="168"/>
    </row>
    <row r="25" spans="1:20" ht="15" customHeight="1">
      <c r="A25" s="32" t="s">
        <v>80</v>
      </c>
      <c r="B25" s="56" t="e">
        <f t="shared" ref="B25:J25" si="13">B24/(B4)</f>
        <v>#DIV/0!</v>
      </c>
      <c r="C25" s="56">
        <f t="shared" si="13"/>
        <v>8.940560347365277E-2</v>
      </c>
      <c r="D25" s="56">
        <f t="shared" si="13"/>
        <v>8.615836894928032E-2</v>
      </c>
      <c r="E25" s="56" t="e">
        <f t="shared" si="13"/>
        <v>#DIV/0!</v>
      </c>
      <c r="F25" s="56">
        <f t="shared" si="13"/>
        <v>3.6481253153193664E-2</v>
      </c>
      <c r="G25" s="56">
        <f t="shared" si="13"/>
        <v>3.06759941250975E-2</v>
      </c>
      <c r="H25" s="158">
        <f t="shared" si="13"/>
        <v>1.9801897350612482E-2</v>
      </c>
      <c r="I25" s="158">
        <f t="shared" si="13"/>
        <v>4.8734662396358153E-2</v>
      </c>
      <c r="J25" s="56">
        <f t="shared" si="13"/>
        <v>4.1614846302346249E-2</v>
      </c>
      <c r="L25" s="40" t="s">
        <v>93</v>
      </c>
      <c r="M25" s="6"/>
      <c r="N25" s="6"/>
      <c r="O25" s="25">
        <v>0</v>
      </c>
      <c r="P25" s="7"/>
      <c r="Q25" s="213">
        <v>133.81200000000001</v>
      </c>
      <c r="R25" s="213">
        <v>221.72800000000001</v>
      </c>
      <c r="S25" s="216">
        <v>240.56</v>
      </c>
      <c r="T25" s="168">
        <v>191.126</v>
      </c>
    </row>
    <row r="26" spans="1:20" ht="15" customHeight="1">
      <c r="A26" s="34" t="s">
        <v>108</v>
      </c>
      <c r="B26" s="16"/>
      <c r="C26" s="10"/>
      <c r="D26" s="10"/>
      <c r="E26" s="10"/>
      <c r="F26" s="10"/>
      <c r="G26" s="10"/>
      <c r="H26" s="152">
        <f>+((H24/F24)^(1/2)-1)</f>
        <v>-0.21604002490236007</v>
      </c>
      <c r="I26" s="152">
        <f>+((I24/F24)^(1/3)-1)</f>
        <v>-0.3045189898905063</v>
      </c>
      <c r="J26" s="54">
        <f>+((J24/G24)^(1/3)-1)</f>
        <v>-0.15226631082975117</v>
      </c>
      <c r="L26" s="40"/>
      <c r="M26" s="6"/>
      <c r="N26" s="6"/>
      <c r="O26" s="25"/>
      <c r="P26" s="7"/>
      <c r="Q26" s="7"/>
      <c r="R26" s="25"/>
      <c r="S26" s="25"/>
      <c r="T26" s="168"/>
    </row>
    <row r="27" spans="1:20" ht="15" customHeight="1">
      <c r="A27" s="33" t="s">
        <v>14</v>
      </c>
      <c r="B27" s="15"/>
      <c r="C27" s="15">
        <v>0</v>
      </c>
      <c r="D27" s="7"/>
      <c r="E27" s="7">
        <v>0</v>
      </c>
      <c r="F27" s="7"/>
      <c r="G27" s="7">
        <v>0</v>
      </c>
      <c r="H27" s="154">
        <v>0</v>
      </c>
      <c r="I27" s="154">
        <v>0</v>
      </c>
      <c r="J27" s="7">
        <v>0</v>
      </c>
      <c r="L27" s="33"/>
      <c r="M27" s="6"/>
      <c r="N27" s="6"/>
      <c r="O27" s="7"/>
      <c r="P27" s="7"/>
      <c r="Q27" s="7"/>
      <c r="R27" s="7"/>
      <c r="S27" s="7"/>
      <c r="T27" s="43"/>
    </row>
    <row r="28" spans="1:20" ht="15" customHeight="1">
      <c r="A28" s="33" t="s">
        <v>69</v>
      </c>
      <c r="B28" s="15"/>
      <c r="C28" s="15">
        <v>0</v>
      </c>
      <c r="D28" s="7">
        <v>0</v>
      </c>
      <c r="E28" s="7">
        <v>0</v>
      </c>
      <c r="F28" s="7"/>
      <c r="G28" s="15">
        <v>-0.498</v>
      </c>
      <c r="H28" s="212">
        <v>-0.219</v>
      </c>
      <c r="I28" s="242">
        <v>0</v>
      </c>
      <c r="J28" s="212">
        <v>0</v>
      </c>
      <c r="L28" s="33"/>
      <c r="M28" s="6"/>
      <c r="N28" s="6"/>
      <c r="O28" s="7"/>
      <c r="P28" s="7"/>
      <c r="Q28" s="7"/>
      <c r="R28" s="7"/>
      <c r="S28" s="7"/>
      <c r="T28" s="166"/>
    </row>
    <row r="29" spans="1:20" ht="15" customHeight="1">
      <c r="A29" s="32" t="s">
        <v>15</v>
      </c>
      <c r="B29" s="71">
        <f t="shared" ref="B29:J29" si="14">(B24-B27+B28)</f>
        <v>0</v>
      </c>
      <c r="C29" s="60">
        <f t="shared" si="14"/>
        <v>265.1343989999998</v>
      </c>
      <c r="D29" s="60">
        <f t="shared" si="14"/>
        <v>257.20266500000025</v>
      </c>
      <c r="E29" s="60">
        <f t="shared" si="14"/>
        <v>0</v>
      </c>
      <c r="F29" s="60">
        <f t="shared" si="14"/>
        <v>61.608226999999943</v>
      </c>
      <c r="G29" s="60">
        <f t="shared" si="14"/>
        <v>58.380000000000017</v>
      </c>
      <c r="H29" s="153">
        <f t="shared" si="14"/>
        <v>37.645000000000152</v>
      </c>
      <c r="I29" s="153">
        <f t="shared" si="14"/>
        <v>20.725000000000062</v>
      </c>
      <c r="J29" s="60">
        <f t="shared" si="14"/>
        <v>35.869999999999955</v>
      </c>
      <c r="L29" s="32" t="s">
        <v>44</v>
      </c>
      <c r="M29" s="69">
        <f t="shared" ref="M29:T29" si="15">SUM(M30:M39)</f>
        <v>0</v>
      </c>
      <c r="N29" s="69">
        <f t="shared" si="15"/>
        <v>0</v>
      </c>
      <c r="O29" s="60">
        <f t="shared" si="15"/>
        <v>2305.0868780000001</v>
      </c>
      <c r="P29" s="60">
        <f t="shared" si="15"/>
        <v>0</v>
      </c>
      <c r="Q29" s="60">
        <f t="shared" si="15"/>
        <v>474.75200000000001</v>
      </c>
      <c r="R29" s="60">
        <f t="shared" si="15"/>
        <v>513.80100000000004</v>
      </c>
      <c r="S29" s="60">
        <f t="shared" si="15"/>
        <v>557.97499999999991</v>
      </c>
      <c r="T29" s="60">
        <f t="shared" si="15"/>
        <v>510.93099999999998</v>
      </c>
    </row>
    <row r="30" spans="1:20" ht="15" customHeight="1">
      <c r="A30" s="34" t="s">
        <v>2</v>
      </c>
      <c r="B30" s="72"/>
      <c r="C30" s="54" t="e">
        <f>(C29/B29-1)</f>
        <v>#DIV/0!</v>
      </c>
      <c r="D30" s="54">
        <f>-(D29/C29-1)</f>
        <v>2.9915899369962751E-2</v>
      </c>
      <c r="E30" s="54">
        <f t="shared" ref="E30:J30" si="16">(E29/D29-1)</f>
        <v>-1</v>
      </c>
      <c r="F30" s="54" t="e">
        <f t="shared" si="16"/>
        <v>#DIV/0!</v>
      </c>
      <c r="G30" s="57">
        <f t="shared" si="16"/>
        <v>-5.2399284270912894E-2</v>
      </c>
      <c r="H30" s="159">
        <f t="shared" si="16"/>
        <v>-0.35517300445357758</v>
      </c>
      <c r="I30" s="159">
        <f t="shared" si="16"/>
        <v>-0.44946207995749821</v>
      </c>
      <c r="J30" s="57">
        <f t="shared" si="16"/>
        <v>0.73075995174908792</v>
      </c>
      <c r="L30" s="33" t="s">
        <v>45</v>
      </c>
      <c r="M30" s="6"/>
      <c r="N30" s="6"/>
      <c r="O30" s="7">
        <v>824.22204499999998</v>
      </c>
      <c r="P30" s="7"/>
      <c r="Q30" s="7"/>
      <c r="R30" s="7"/>
      <c r="S30" s="7"/>
      <c r="T30" s="166"/>
    </row>
    <row r="31" spans="1:20" ht="15" customHeight="1">
      <c r="A31" s="34" t="s">
        <v>108</v>
      </c>
      <c r="B31" s="16"/>
      <c r="C31" s="10"/>
      <c r="D31" s="10"/>
      <c r="E31" s="10"/>
      <c r="F31" s="10"/>
      <c r="G31" s="10"/>
      <c r="H31" s="152">
        <f>+((H29/F29)^(1/2)-1)</f>
        <v>-0.21831046923908026</v>
      </c>
      <c r="I31" s="152">
        <f>+((I29/F29)^(1/3)-1)</f>
        <v>-0.3045189898905063</v>
      </c>
      <c r="J31" s="54">
        <f>+((J29/G29)^(1/3)-1)</f>
        <v>-0.14986265309801905</v>
      </c>
      <c r="L31" s="33" t="s">
        <v>92</v>
      </c>
      <c r="M31" s="6"/>
      <c r="N31" s="6"/>
      <c r="O31" s="7"/>
      <c r="P31" s="7"/>
      <c r="Q31" s="7"/>
      <c r="R31" s="7"/>
      <c r="S31" s="7"/>
      <c r="T31" s="166"/>
    </row>
    <row r="32" spans="1:20" ht="15" customHeight="1">
      <c r="A32" s="32" t="s">
        <v>16</v>
      </c>
      <c r="B32" s="17"/>
      <c r="C32" s="5">
        <v>15.83</v>
      </c>
      <c r="D32" s="5">
        <v>13.99</v>
      </c>
      <c r="E32" s="5"/>
      <c r="F32" s="214">
        <v>4.79</v>
      </c>
      <c r="G32" s="210">
        <v>3.98</v>
      </c>
      <c r="H32" s="210">
        <v>2.56</v>
      </c>
      <c r="I32" s="241">
        <v>1.4</v>
      </c>
      <c r="J32" s="210">
        <v>2.4300000000000002</v>
      </c>
      <c r="L32" s="40" t="s">
        <v>94</v>
      </c>
      <c r="M32" s="6"/>
      <c r="N32" s="6"/>
      <c r="O32" s="7">
        <v>1165.493487</v>
      </c>
      <c r="P32" s="7"/>
      <c r="Q32" s="213">
        <v>382.87099999999998</v>
      </c>
      <c r="R32" s="213">
        <v>422.23200000000003</v>
      </c>
      <c r="S32" s="212">
        <v>483.38200000000001</v>
      </c>
      <c r="T32" s="166">
        <v>295.39100000000002</v>
      </c>
    </row>
    <row r="33" spans="1:20" ht="15" customHeight="1">
      <c r="A33" s="33" t="s">
        <v>2</v>
      </c>
      <c r="B33" s="73"/>
      <c r="C33" s="58" t="e">
        <f>(C32/B32-1)</f>
        <v>#DIV/0!</v>
      </c>
      <c r="D33" s="58">
        <f>-(D32/C32-1)</f>
        <v>0.11623499684144034</v>
      </c>
      <c r="E33" s="58">
        <f t="shared" ref="E33:J33" si="17">(E32/D32-1)</f>
        <v>-1</v>
      </c>
      <c r="F33" s="58" t="e">
        <f t="shared" si="17"/>
        <v>#DIV/0!</v>
      </c>
      <c r="G33" s="58">
        <f t="shared" si="17"/>
        <v>-0.16910229645093944</v>
      </c>
      <c r="H33" s="161">
        <f t="shared" si="17"/>
        <v>-0.35678391959798994</v>
      </c>
      <c r="I33" s="161">
        <f t="shared" si="17"/>
        <v>-0.453125</v>
      </c>
      <c r="J33" s="58">
        <f t="shared" si="17"/>
        <v>0.73571428571428599</v>
      </c>
      <c r="L33" s="40" t="s">
        <v>175</v>
      </c>
      <c r="M33" s="6"/>
      <c r="N33" s="6"/>
      <c r="O33" s="7"/>
      <c r="P33" s="7"/>
      <c r="Q33" s="213">
        <v>52.707000000000001</v>
      </c>
      <c r="R33" s="213">
        <v>26.209</v>
      </c>
      <c r="S33" s="212">
        <v>0.79400000000000004</v>
      </c>
      <c r="T33" s="166">
        <v>16.001000000000001</v>
      </c>
    </row>
    <row r="34" spans="1:20" ht="15" customHeight="1" thickBot="1">
      <c r="A34" s="35" t="s">
        <v>108</v>
      </c>
      <c r="B34" s="36"/>
      <c r="C34" s="37"/>
      <c r="D34" s="37"/>
      <c r="E34" s="38"/>
      <c r="F34" s="38"/>
      <c r="G34" s="39"/>
      <c r="H34" s="162">
        <f>+((H32/F32)^(1/2)-1)</f>
        <v>-0.26894134018407378</v>
      </c>
      <c r="I34" s="162">
        <f>+((I32/F32)^(1/3)-1)</f>
        <v>-0.33636261897945074</v>
      </c>
      <c r="J34" s="54">
        <f>+((J32/G32)^(1/3)-1)</f>
        <v>-0.15165129640911235</v>
      </c>
      <c r="L34" s="40" t="s">
        <v>176</v>
      </c>
      <c r="M34" s="6"/>
      <c r="N34" s="6"/>
      <c r="O34" s="7">
        <v>65.760679999999994</v>
      </c>
      <c r="P34" s="7"/>
      <c r="Q34" s="7"/>
      <c r="R34" s="7"/>
      <c r="S34" s="7"/>
      <c r="T34" s="166"/>
    </row>
    <row r="35" spans="1:20" ht="15" customHeight="1">
      <c r="A35" s="179"/>
      <c r="K35" s="19"/>
      <c r="L35" s="40" t="s">
        <v>158</v>
      </c>
      <c r="M35" s="6"/>
      <c r="N35" s="6"/>
      <c r="O35" s="7"/>
      <c r="P35" s="7"/>
      <c r="Q35" s="213">
        <v>13.579000000000001</v>
      </c>
      <c r="R35" s="213">
        <v>12.038</v>
      </c>
      <c r="S35" s="212">
        <v>15.59</v>
      </c>
      <c r="T35" s="166">
        <v>24.210999999999999</v>
      </c>
    </row>
    <row r="36" spans="1:20" ht="15" customHeight="1" thickBot="1">
      <c r="A36" s="179"/>
      <c r="K36" s="19"/>
      <c r="L36" s="40" t="s">
        <v>177</v>
      </c>
      <c r="M36" s="6"/>
      <c r="N36" s="6"/>
      <c r="O36" s="7">
        <v>249.61066600000001</v>
      </c>
      <c r="P36" s="7"/>
      <c r="Q36" s="213">
        <v>4.7160000000000002</v>
      </c>
      <c r="R36" s="213">
        <v>1.994</v>
      </c>
      <c r="S36" s="212">
        <v>1.542</v>
      </c>
      <c r="T36" s="168">
        <v>2.5209999999999999</v>
      </c>
    </row>
    <row r="37" spans="1:20" ht="15" customHeight="1">
      <c r="A37" s="337" t="s">
        <v>103</v>
      </c>
      <c r="B37" s="338"/>
      <c r="C37" s="338"/>
      <c r="D37" s="338"/>
      <c r="E37" s="338"/>
      <c r="F37" s="338"/>
      <c r="G37" s="338"/>
      <c r="H37" s="339"/>
      <c r="I37" s="243"/>
      <c r="J37" s="238"/>
      <c r="K37" s="19"/>
      <c r="L37" s="40" t="s">
        <v>178</v>
      </c>
      <c r="M37" s="6"/>
      <c r="N37" s="6"/>
      <c r="O37" s="25">
        <v>0</v>
      </c>
      <c r="P37" s="7"/>
      <c r="Q37" s="213">
        <v>13.971</v>
      </c>
      <c r="R37" s="213">
        <v>41.488</v>
      </c>
      <c r="S37" s="216">
        <v>46.037999999999997</v>
      </c>
      <c r="T37" s="166">
        <v>163.37799999999999</v>
      </c>
    </row>
    <row r="38" spans="1:20" ht="15" customHeight="1">
      <c r="A38" s="31" t="s">
        <v>0</v>
      </c>
      <c r="B38" s="52" t="s">
        <v>31</v>
      </c>
      <c r="C38" s="52" t="s">
        <v>32</v>
      </c>
      <c r="D38" s="52" t="s">
        <v>33</v>
      </c>
      <c r="E38" s="52" t="s">
        <v>34</v>
      </c>
      <c r="F38" s="52" t="s">
        <v>35</v>
      </c>
      <c r="G38" s="52" t="s">
        <v>85</v>
      </c>
      <c r="H38" s="151" t="s">
        <v>90</v>
      </c>
      <c r="I38" s="151" t="s">
        <v>163</v>
      </c>
      <c r="J38" s="2" t="s">
        <v>204</v>
      </c>
      <c r="K38" s="19"/>
      <c r="L38" s="33" t="s">
        <v>156</v>
      </c>
      <c r="M38" s="14"/>
      <c r="N38" s="14"/>
      <c r="O38" s="30">
        <v>0</v>
      </c>
      <c r="P38" s="30"/>
      <c r="Q38" s="30"/>
      <c r="R38" s="30"/>
      <c r="S38" s="8"/>
      <c r="T38" s="164"/>
    </row>
    <row r="39" spans="1:20" ht="15" customHeight="1">
      <c r="A39" s="32" t="s">
        <v>17</v>
      </c>
      <c r="B39" s="5"/>
      <c r="C39" s="5"/>
      <c r="D39" s="5">
        <v>19.427174999999998</v>
      </c>
      <c r="E39" s="5"/>
      <c r="F39" s="5"/>
      <c r="G39" s="5">
        <v>60.714210000000001</v>
      </c>
      <c r="H39" s="42">
        <v>55.66</v>
      </c>
      <c r="I39" s="244">
        <f>7.94/10</f>
        <v>0.79400000000000004</v>
      </c>
      <c r="J39" s="5">
        <v>16.001000000000001</v>
      </c>
      <c r="L39" s="33" t="s">
        <v>97</v>
      </c>
      <c r="M39" s="14"/>
      <c r="N39" s="14"/>
      <c r="O39" s="30">
        <v>0</v>
      </c>
      <c r="P39" s="8"/>
      <c r="Q39" s="211">
        <v>6.9080000000000004</v>
      </c>
      <c r="R39" s="211">
        <v>9.84</v>
      </c>
      <c r="S39" s="215">
        <v>10.629</v>
      </c>
      <c r="T39" s="166">
        <v>9.4290000000000003</v>
      </c>
    </row>
    <row r="40" spans="1:20" ht="15" customHeight="1">
      <c r="A40" s="33" t="s">
        <v>18</v>
      </c>
      <c r="B40" s="7"/>
      <c r="C40" s="7"/>
      <c r="D40" s="7">
        <v>-43.106437</v>
      </c>
      <c r="E40" s="7"/>
      <c r="F40" s="7"/>
      <c r="G40" s="7">
        <v>-88.07</v>
      </c>
      <c r="H40" s="43">
        <v>20.079999999999998</v>
      </c>
      <c r="I40" s="245">
        <f>-89.06/10</f>
        <v>-8.9060000000000006</v>
      </c>
      <c r="J40" s="7">
        <v>115.023</v>
      </c>
      <c r="L40" s="33"/>
      <c r="M40" s="14"/>
      <c r="N40" s="14"/>
      <c r="O40" s="7"/>
      <c r="P40" s="7"/>
      <c r="Q40" s="7"/>
      <c r="R40" s="7"/>
      <c r="S40" s="7"/>
      <c r="T40" s="166"/>
    </row>
    <row r="41" spans="1:20" ht="15" customHeight="1">
      <c r="A41" s="33" t="s">
        <v>79</v>
      </c>
      <c r="B41" s="7"/>
      <c r="C41" s="7"/>
      <c r="D41" s="7">
        <v>-255.557501</v>
      </c>
      <c r="E41" s="7"/>
      <c r="F41" s="7"/>
      <c r="G41" s="7">
        <v>-12.19204</v>
      </c>
      <c r="H41" s="43">
        <v>-45.49</v>
      </c>
      <c r="I41" s="245">
        <f>27.78/10</f>
        <v>2.778</v>
      </c>
      <c r="J41" s="7">
        <v>6.484</v>
      </c>
      <c r="L41" s="32" t="s">
        <v>46</v>
      </c>
      <c r="M41" s="69">
        <f t="shared" ref="M41:S41" si="18">SUM(M42:M48)</f>
        <v>0</v>
      </c>
      <c r="N41" s="69">
        <f t="shared" si="18"/>
        <v>0</v>
      </c>
      <c r="O41" s="60">
        <f t="shared" si="18"/>
        <v>691.272784</v>
      </c>
      <c r="P41" s="60">
        <f t="shared" si="18"/>
        <v>0</v>
      </c>
      <c r="Q41" s="60">
        <f t="shared" si="18"/>
        <v>159.27300000000002</v>
      </c>
      <c r="R41" s="60">
        <f t="shared" si="18"/>
        <v>239.16300000000001</v>
      </c>
      <c r="S41" s="60">
        <f t="shared" si="18"/>
        <v>257.68200000000002</v>
      </c>
      <c r="T41" s="167">
        <f t="shared" ref="T41" si="19">SUM(T42:T47)</f>
        <v>225.143</v>
      </c>
    </row>
    <row r="42" spans="1:20" ht="15" customHeight="1">
      <c r="A42" s="33" t="s">
        <v>19</v>
      </c>
      <c r="B42" s="7"/>
      <c r="C42" s="7"/>
      <c r="D42" s="7">
        <v>284.52159899999998</v>
      </c>
      <c r="E42" s="7"/>
      <c r="F42" s="7"/>
      <c r="G42" s="7">
        <v>84.231628000000001</v>
      </c>
      <c r="H42" s="43">
        <v>14.33</v>
      </c>
      <c r="I42" s="245">
        <f>-254.15/10</f>
        <v>-25.414999999999999</v>
      </c>
      <c r="J42" s="7">
        <v>15.208</v>
      </c>
      <c r="L42" s="33" t="s">
        <v>82</v>
      </c>
      <c r="M42" s="6"/>
      <c r="N42" s="6"/>
      <c r="O42" s="7">
        <v>265.41445299999998</v>
      </c>
      <c r="P42" s="7"/>
      <c r="Q42">
        <v>14.041</v>
      </c>
      <c r="R42">
        <v>33.316000000000003</v>
      </c>
      <c r="S42">
        <v>46.234999999999999</v>
      </c>
      <c r="T42" s="166">
        <v>57.887999999999998</v>
      </c>
    </row>
    <row r="43" spans="1:20" ht="15" customHeight="1">
      <c r="A43" s="32" t="s">
        <v>20</v>
      </c>
      <c r="B43" s="60">
        <f t="shared" ref="B43:D43" si="20">+B40+B41+B42</f>
        <v>0</v>
      </c>
      <c r="C43" s="60">
        <f t="shared" si="20"/>
        <v>0</v>
      </c>
      <c r="D43" s="60">
        <f t="shared" si="20"/>
        <v>-14.14233900000005</v>
      </c>
      <c r="E43" s="60"/>
      <c r="F43" s="60"/>
      <c r="G43" s="60">
        <v>-50.565080000000002</v>
      </c>
      <c r="H43" s="61">
        <v>-21.95</v>
      </c>
      <c r="I43" s="246">
        <f>262.09/10</f>
        <v>26.208999999999996</v>
      </c>
      <c r="J43" s="60">
        <v>0.79400000000000004</v>
      </c>
      <c r="L43" s="33" t="s">
        <v>168</v>
      </c>
      <c r="M43" s="6"/>
      <c r="N43" s="6"/>
      <c r="O43" s="7"/>
      <c r="P43" s="7"/>
      <c r="Q43" s="207">
        <v>1.419</v>
      </c>
      <c r="R43" s="207">
        <v>1.6439999999999999</v>
      </c>
      <c r="S43" s="207">
        <v>2.157</v>
      </c>
      <c r="T43" s="166">
        <v>0</v>
      </c>
    </row>
    <row r="44" spans="1:20" ht="15" customHeight="1" thickBot="1">
      <c r="A44" s="41" t="s">
        <v>72</v>
      </c>
      <c r="B44" s="62">
        <f t="shared" ref="B44:D44" si="21">+B39+B43</f>
        <v>0</v>
      </c>
      <c r="C44" s="62">
        <f t="shared" si="21"/>
        <v>0</v>
      </c>
      <c r="D44" s="62">
        <f t="shared" si="21"/>
        <v>5.2848359999999488</v>
      </c>
      <c r="E44" s="62"/>
      <c r="F44" s="62"/>
      <c r="G44" s="62">
        <f>G39+G43</f>
        <v>10.14913</v>
      </c>
      <c r="H44" s="63">
        <f>H39+H43</f>
        <v>33.709999999999994</v>
      </c>
      <c r="I44" s="247">
        <f>I39+I43</f>
        <v>27.002999999999997</v>
      </c>
      <c r="J44" s="60">
        <f>J39+J43</f>
        <v>16.795000000000002</v>
      </c>
      <c r="L44" s="218" t="s">
        <v>83</v>
      </c>
      <c r="M44" s="219"/>
      <c r="N44" s="219"/>
      <c r="O44" s="220">
        <v>0</v>
      </c>
      <c r="P44" s="220"/>
      <c r="Q44" s="217">
        <v>76.911000000000001</v>
      </c>
      <c r="R44" s="217">
        <v>134.81700000000001</v>
      </c>
      <c r="S44" s="217">
        <v>136.93100000000001</v>
      </c>
      <c r="T44" s="166">
        <v>135.751</v>
      </c>
    </row>
    <row r="45" spans="1:20" ht="15" customHeight="1">
      <c r="A45" s="179"/>
      <c r="L45" s="223" t="s">
        <v>70</v>
      </c>
      <c r="M45" s="14"/>
      <c r="N45" s="14"/>
      <c r="O45" s="7">
        <v>187.46950000000001</v>
      </c>
      <c r="P45" s="25"/>
      <c r="Q45" s="207">
        <v>0.22800000000000001</v>
      </c>
      <c r="R45" s="207"/>
      <c r="S45" s="207">
        <v>1.0820000000000001</v>
      </c>
      <c r="T45" s="166">
        <v>0.7</v>
      </c>
    </row>
    <row r="46" spans="1:20" ht="15" customHeight="1" thickBot="1">
      <c r="A46" s="179"/>
      <c r="L46" s="208" t="s">
        <v>78</v>
      </c>
      <c r="M46" s="221"/>
      <c r="N46" s="221"/>
      <c r="O46" s="222">
        <v>238.38883100000001</v>
      </c>
      <c r="P46" s="222"/>
      <c r="Q46" s="206">
        <v>66.674000000000007</v>
      </c>
      <c r="R46" s="206">
        <v>69.385999999999996</v>
      </c>
      <c r="S46" s="206">
        <v>71.277000000000001</v>
      </c>
      <c r="T46" s="168">
        <v>30.803999999999998</v>
      </c>
    </row>
    <row r="47" spans="1:20" ht="15" customHeight="1">
      <c r="A47" s="44" t="s">
        <v>21</v>
      </c>
      <c r="B47" s="177" t="s">
        <v>31</v>
      </c>
      <c r="C47" s="177" t="s">
        <v>32</v>
      </c>
      <c r="D47" s="177" t="s">
        <v>33</v>
      </c>
      <c r="E47" s="177" t="s">
        <v>34</v>
      </c>
      <c r="F47" s="177" t="s">
        <v>35</v>
      </c>
      <c r="G47" s="45" t="s">
        <v>85</v>
      </c>
      <c r="H47" s="174" t="s">
        <v>90</v>
      </c>
      <c r="I47" s="2" t="s">
        <v>163</v>
      </c>
      <c r="J47" s="2" t="s">
        <v>204</v>
      </c>
      <c r="L47" s="33" t="s">
        <v>95</v>
      </c>
      <c r="M47" s="6"/>
      <c r="N47" s="6"/>
      <c r="O47" s="7"/>
      <c r="P47" s="25"/>
      <c r="Q47" s="7"/>
      <c r="R47" s="7">
        <v>0</v>
      </c>
      <c r="S47" s="25">
        <v>0</v>
      </c>
      <c r="T47" s="166">
        <v>0</v>
      </c>
    </row>
    <row r="48" spans="1:20" ht="15" customHeight="1">
      <c r="A48" s="32" t="s">
        <v>22</v>
      </c>
      <c r="B48" s="60">
        <f t="shared" ref="B48:D48" si="22">B21</f>
        <v>0</v>
      </c>
      <c r="C48" s="60">
        <f t="shared" si="22"/>
        <v>356.98752799999977</v>
      </c>
      <c r="D48" s="60">
        <f t="shared" si="22"/>
        <v>350.24746100000027</v>
      </c>
      <c r="E48" s="60"/>
      <c r="F48" s="60"/>
      <c r="G48" s="60">
        <v>80.569999999999993</v>
      </c>
      <c r="H48" s="153">
        <v>74.09</v>
      </c>
      <c r="I48" s="60">
        <v>35.61</v>
      </c>
      <c r="J48" s="60">
        <f>J21</f>
        <v>42.112999999999957</v>
      </c>
      <c r="L48" s="33"/>
      <c r="M48" s="6"/>
      <c r="N48" s="6"/>
      <c r="O48" s="7"/>
      <c r="P48" s="7"/>
      <c r="Q48" s="7"/>
      <c r="R48" s="7"/>
      <c r="S48" s="7"/>
    </row>
    <row r="49" spans="1:20" ht="15" customHeight="1">
      <c r="A49" s="33" t="s">
        <v>23</v>
      </c>
      <c r="B49" s="64">
        <f t="shared" ref="B49:D49" si="23">B18</f>
        <v>0</v>
      </c>
      <c r="C49" s="64">
        <f t="shared" si="23"/>
        <v>67.671909999999997</v>
      </c>
      <c r="D49" s="64">
        <f t="shared" si="23"/>
        <v>98.236097000000001</v>
      </c>
      <c r="E49" s="64"/>
      <c r="F49" s="64"/>
      <c r="G49" s="64">
        <v>7.2</v>
      </c>
      <c r="H49" s="170">
        <v>9.43</v>
      </c>
      <c r="I49" s="64">
        <v>12.23</v>
      </c>
      <c r="J49" s="64">
        <f>J18</f>
        <v>4.7919999999999998</v>
      </c>
      <c r="L49" s="32" t="s">
        <v>47</v>
      </c>
      <c r="M49" s="69">
        <f t="shared" ref="M49:S49" si="24">(M29-M41-M9)</f>
        <v>0</v>
      </c>
      <c r="N49" s="69">
        <f t="shared" si="24"/>
        <v>0</v>
      </c>
      <c r="O49" s="60">
        <f t="shared" si="24"/>
        <v>909.5639930000001</v>
      </c>
      <c r="P49" s="60">
        <f t="shared" si="24"/>
        <v>0</v>
      </c>
      <c r="Q49" s="60">
        <f t="shared" si="24"/>
        <v>280.56</v>
      </c>
      <c r="R49" s="60">
        <f t="shared" si="24"/>
        <v>204.68100000000004</v>
      </c>
      <c r="S49" s="60">
        <f t="shared" si="24"/>
        <v>212.8829999999999</v>
      </c>
      <c r="T49" s="167">
        <f>(T29-T41-T9)</f>
        <v>285.78800000000001</v>
      </c>
    </row>
    <row r="50" spans="1:20" ht="15" customHeight="1">
      <c r="A50" s="33" t="s">
        <v>24</v>
      </c>
      <c r="B50" s="64">
        <f t="shared" ref="B50:D50" si="25">B20</f>
        <v>0</v>
      </c>
      <c r="C50" s="64">
        <f t="shared" si="25"/>
        <v>0</v>
      </c>
      <c r="D50" s="64">
        <f t="shared" si="25"/>
        <v>0</v>
      </c>
      <c r="E50" s="64"/>
      <c r="F50" s="64"/>
      <c r="G50" s="64">
        <f>F20</f>
        <v>0</v>
      </c>
      <c r="H50" s="64">
        <f t="shared" ref="H50:I50" si="26">G20</f>
        <v>0</v>
      </c>
      <c r="I50" s="64">
        <f t="shared" si="26"/>
        <v>0</v>
      </c>
      <c r="J50" s="64">
        <v>0</v>
      </c>
      <c r="L50" s="33" t="s">
        <v>48</v>
      </c>
      <c r="M50" s="6"/>
      <c r="N50" s="6"/>
      <c r="O50" s="7">
        <v>62.554617999999998</v>
      </c>
      <c r="P50" s="7"/>
      <c r="Q50" s="206">
        <v>1.478</v>
      </c>
      <c r="R50" s="206">
        <v>3.65</v>
      </c>
      <c r="S50" s="206">
        <v>3.0379999999999998</v>
      </c>
      <c r="T50" s="168">
        <v>4.0759999999999996</v>
      </c>
    </row>
    <row r="51" spans="1:20" ht="15" customHeight="1">
      <c r="A51" s="33" t="s">
        <v>25</v>
      </c>
      <c r="B51" s="64"/>
      <c r="C51" s="64">
        <f>-((N49-M49)-(N34-M34))</f>
        <v>0</v>
      </c>
      <c r="D51" s="64">
        <f>-((O49-N49)-(O34-N34))</f>
        <v>-843.80331300000012</v>
      </c>
      <c r="E51" s="64"/>
      <c r="F51" s="64"/>
      <c r="G51" s="64">
        <f>[1]Sheet3!$C$63-[1]Sheet3!$B$63</f>
        <v>-75.878999999999962</v>
      </c>
      <c r="H51" s="170">
        <f>[1]Sheet3!$D$63-[1]Sheet3!$C$63</f>
        <v>8.2019999999998845</v>
      </c>
      <c r="I51" s="64">
        <f>[1]Sheet3!$E$63-[1]Sheet3!$D$63</f>
        <v>-183.80999999999989</v>
      </c>
      <c r="J51" s="64"/>
      <c r="L51" s="33" t="s">
        <v>84</v>
      </c>
      <c r="M51" s="6"/>
      <c r="N51" s="6"/>
      <c r="O51" s="25">
        <v>0</v>
      </c>
      <c r="P51" s="25"/>
      <c r="Q51" s="224">
        <v>24.913</v>
      </c>
      <c r="R51" s="224">
        <v>25.652999999999999</v>
      </c>
      <c r="S51" s="224">
        <v>10.250999999999999</v>
      </c>
      <c r="T51" s="168">
        <v>10.250999999999999</v>
      </c>
    </row>
    <row r="52" spans="1:20" ht="15" customHeight="1">
      <c r="A52" s="33" t="s">
        <v>26</v>
      </c>
      <c r="B52" s="64">
        <f t="shared" ref="B52:D52" si="27">-B22</f>
        <v>0</v>
      </c>
      <c r="C52" s="64">
        <f t="shared" si="27"/>
        <v>-91.853128999999996</v>
      </c>
      <c r="D52" s="64">
        <f t="shared" si="27"/>
        <v>-93.044796000000005</v>
      </c>
      <c r="E52" s="64"/>
      <c r="F52" s="64"/>
      <c r="G52" s="64">
        <v>19</v>
      </c>
      <c r="H52" s="170">
        <v>15.22</v>
      </c>
      <c r="I52" s="64">
        <v>-2.25</v>
      </c>
      <c r="J52" s="64">
        <f>J22</f>
        <v>6.2430000000000003</v>
      </c>
      <c r="L52" s="33" t="s">
        <v>168</v>
      </c>
      <c r="M52" s="6"/>
      <c r="N52" s="6"/>
      <c r="O52" s="25"/>
      <c r="P52" s="25"/>
      <c r="Q52" s="206">
        <v>8.4239999999999995</v>
      </c>
      <c r="R52" s="207">
        <v>6.78</v>
      </c>
      <c r="S52" s="207">
        <v>4.6230000000000002</v>
      </c>
      <c r="T52" s="166">
        <v>0</v>
      </c>
    </row>
    <row r="53" spans="1:20" ht="15" customHeight="1">
      <c r="A53" s="32" t="s">
        <v>27</v>
      </c>
      <c r="B53" s="60">
        <f t="shared" ref="B53:D53" si="28">SUM(B48:B52)</f>
        <v>0</v>
      </c>
      <c r="C53" s="60">
        <f t="shared" si="28"/>
        <v>332.80630899999983</v>
      </c>
      <c r="D53" s="60">
        <f t="shared" si="28"/>
        <v>-488.36455099999989</v>
      </c>
      <c r="E53" s="60"/>
      <c r="F53" s="60"/>
      <c r="G53" s="60">
        <f>G40</f>
        <v>-88.07</v>
      </c>
      <c r="H53" s="60">
        <f>H40</f>
        <v>20.079999999999998</v>
      </c>
      <c r="I53" s="60">
        <f>I40</f>
        <v>-8.9060000000000006</v>
      </c>
      <c r="J53" s="60">
        <f>J40</f>
        <v>115.023</v>
      </c>
      <c r="K53" s="19"/>
      <c r="L53" s="33" t="s">
        <v>71</v>
      </c>
      <c r="M53" s="6"/>
      <c r="N53" s="6"/>
      <c r="O53" s="25">
        <v>0</v>
      </c>
      <c r="P53" s="7"/>
      <c r="Q53" s="7"/>
      <c r="R53" s="222"/>
      <c r="S53" s="206">
        <v>0.247</v>
      </c>
      <c r="T53" s="166">
        <v>0</v>
      </c>
    </row>
    <row r="54" spans="1:20" ht="15" customHeight="1">
      <c r="A54" s="33" t="s">
        <v>28</v>
      </c>
      <c r="B54" s="64"/>
      <c r="C54" s="64">
        <f t="shared" ref="C54" si="29">-(N16-M16)</f>
        <v>0</v>
      </c>
      <c r="D54" s="74">
        <f t="shared" ref="D54" si="30">-(O14-N14)</f>
        <v>-1481.9677489999999</v>
      </c>
      <c r="E54" s="64"/>
      <c r="F54" s="64"/>
      <c r="G54" s="64">
        <f>-6.783+9.5</f>
        <v>2.7169999999999996</v>
      </c>
      <c r="H54" s="170">
        <f>-56.41+5.216</f>
        <v>-51.193999999999996</v>
      </c>
      <c r="I54" s="64">
        <f>(-35.08+4.91)/10</f>
        <v>-3.0169999999999999</v>
      </c>
      <c r="J54" s="64">
        <f>(1.02+0.27)/10</f>
        <v>0.129</v>
      </c>
      <c r="L54" s="33" t="s">
        <v>159</v>
      </c>
      <c r="M54" s="4"/>
      <c r="N54" s="4"/>
      <c r="O54" s="7"/>
      <c r="P54" s="7"/>
      <c r="Q54" s="7"/>
      <c r="R54" s="7"/>
      <c r="S54" s="7"/>
    </row>
    <row r="55" spans="1:20" ht="15" customHeight="1" thickBot="1">
      <c r="A55" s="41" t="s">
        <v>29</v>
      </c>
      <c r="B55" s="62">
        <f t="shared" ref="B55:D55" si="31">SUM(B53:B54)</f>
        <v>0</v>
      </c>
      <c r="C55" s="62">
        <f t="shared" si="31"/>
        <v>332.80630899999983</v>
      </c>
      <c r="D55" s="62">
        <f t="shared" si="31"/>
        <v>-1970.3322999999998</v>
      </c>
      <c r="E55" s="62"/>
      <c r="F55" s="62"/>
      <c r="G55" s="62">
        <f>G53-G54</f>
        <v>-90.786999999999992</v>
      </c>
      <c r="H55" s="175">
        <f>H53-H54</f>
        <v>71.274000000000001</v>
      </c>
      <c r="I55" s="60">
        <f>I53-I54</f>
        <v>-5.8890000000000011</v>
      </c>
      <c r="J55" s="60">
        <f>J53-J54</f>
        <v>114.89399999999999</v>
      </c>
      <c r="L55" s="32" t="s">
        <v>88</v>
      </c>
      <c r="M55" s="70">
        <f>SUM(M16:M27)+M29</f>
        <v>0</v>
      </c>
      <c r="N55" s="70">
        <f>SUM(N16:N27)+N29</f>
        <v>0</v>
      </c>
      <c r="O55" s="60">
        <f t="shared" ref="O55:T55" si="32">O15+O29</f>
        <v>3519.666577</v>
      </c>
      <c r="P55" s="60">
        <f t="shared" si="32"/>
        <v>0</v>
      </c>
      <c r="Q55" s="60">
        <f t="shared" si="32"/>
        <v>813.07300000000009</v>
      </c>
      <c r="R55" s="60">
        <f t="shared" si="32"/>
        <v>977.84100000000012</v>
      </c>
      <c r="S55" s="60">
        <f t="shared" si="32"/>
        <v>1014.7639999999999</v>
      </c>
      <c r="T55" s="167">
        <f t="shared" si="32"/>
        <v>911.96100000000001</v>
      </c>
    </row>
    <row r="56" spans="1:20" ht="15" customHeight="1" thickBot="1">
      <c r="A56" s="179" t="s">
        <v>30</v>
      </c>
      <c r="L56" s="41" t="s">
        <v>89</v>
      </c>
      <c r="M56" s="80">
        <f>M53+M41+M10+M6+M50+M51+M54</f>
        <v>0</v>
      </c>
      <c r="N56" s="80">
        <f>N53+N41+N10+N6+N50+N51+N54</f>
        <v>0</v>
      </c>
      <c r="O56" s="62">
        <f>O53+O41+O10+O6+O50+O51+O54</f>
        <v>3718.0106110000002</v>
      </c>
      <c r="P56" s="62">
        <f>P53+P41+P10+P6+P50+P51+P54</f>
        <v>0</v>
      </c>
      <c r="Q56" s="62">
        <f>Q53+Q41+Q10+Q6+Q50+Q51+Q54+Q52</f>
        <v>813.10099999999989</v>
      </c>
      <c r="R56" s="62">
        <f>R53+R41+R10+R6+R50+R51+R52+R54</f>
        <v>977.84599999999989</v>
      </c>
      <c r="S56" s="62">
        <f>S53+S41+S10+S6+S50+S51+S52+S54</f>
        <v>1014.7690000000001</v>
      </c>
      <c r="T56" s="62">
        <f>T53+T41+T10+T6+T50+T51+T52+T54</f>
        <v>911.96300000000008</v>
      </c>
    </row>
    <row r="57" spans="1:20" ht="15" customHeight="1" thickBot="1">
      <c r="A57" s="179"/>
      <c r="L57" s="19"/>
      <c r="M57" s="20"/>
      <c r="N57" s="20"/>
      <c r="O57" s="21"/>
      <c r="P57" s="21"/>
      <c r="Q57" s="21"/>
      <c r="R57" s="21"/>
      <c r="S57" s="20"/>
      <c r="T57" s="180"/>
    </row>
    <row r="58" spans="1:20" ht="15" customHeight="1" thickBot="1">
      <c r="A58" s="44" t="s">
        <v>21</v>
      </c>
      <c r="B58" s="177" t="s">
        <v>31</v>
      </c>
      <c r="C58" s="177" t="s">
        <v>32</v>
      </c>
      <c r="D58" s="177" t="s">
        <v>33</v>
      </c>
      <c r="E58" s="177" t="s">
        <v>34</v>
      </c>
      <c r="F58" s="177" t="s">
        <v>35</v>
      </c>
      <c r="G58" s="45" t="s">
        <v>85</v>
      </c>
      <c r="H58" s="174" t="s">
        <v>90</v>
      </c>
      <c r="I58" s="2" t="s">
        <v>163</v>
      </c>
      <c r="J58" s="239" t="s">
        <v>204</v>
      </c>
      <c r="L58" s="19"/>
      <c r="M58" s="20"/>
      <c r="N58" s="20"/>
      <c r="O58" s="21"/>
      <c r="P58" s="21"/>
      <c r="Q58" s="21"/>
      <c r="R58" s="21"/>
      <c r="S58" s="20"/>
      <c r="T58" s="180"/>
    </row>
    <row r="59" spans="1:20" ht="15" customHeight="1">
      <c r="A59" s="33" t="s">
        <v>73</v>
      </c>
      <c r="B59" s="26"/>
      <c r="C59" s="26"/>
      <c r="D59" s="26">
        <v>16743793</v>
      </c>
      <c r="E59" s="26"/>
      <c r="F59" s="26"/>
      <c r="G59" s="176">
        <v>14784000</v>
      </c>
      <c r="H59" s="176">
        <v>14784000</v>
      </c>
      <c r="I59" s="176">
        <v>14784000</v>
      </c>
      <c r="J59" s="176">
        <v>14784000</v>
      </c>
      <c r="L59" s="337" t="s">
        <v>101</v>
      </c>
      <c r="M59" s="338"/>
      <c r="N59" s="338"/>
      <c r="O59" s="338"/>
      <c r="P59" s="338"/>
      <c r="Q59" s="338"/>
      <c r="R59" s="338"/>
      <c r="S59" s="339"/>
    </row>
    <row r="60" spans="1:20" ht="15" customHeight="1">
      <c r="A60" s="32" t="s">
        <v>74</v>
      </c>
      <c r="B60" s="60">
        <f>B59*M61/1000000</f>
        <v>0</v>
      </c>
      <c r="C60" s="60">
        <f>C59*N61/1000000</f>
        <v>0</v>
      </c>
      <c r="D60" s="60">
        <f>D59*O61/1000000</f>
        <v>3414.0593927000004</v>
      </c>
      <c r="E60" s="60"/>
      <c r="F60" s="60"/>
      <c r="G60" s="60">
        <f>G59*R61/1000000</f>
        <v>606.14400000000001</v>
      </c>
      <c r="H60" s="153">
        <f>H59*S61/1000000</f>
        <v>576.57600000000002</v>
      </c>
      <c r="I60" s="60">
        <v>593.41</v>
      </c>
      <c r="J60" s="240">
        <f>J59*T61/1000000</f>
        <v>533.70240000000001</v>
      </c>
      <c r="L60" s="47" t="s">
        <v>50</v>
      </c>
      <c r="M60" s="22" t="s">
        <v>31</v>
      </c>
      <c r="N60" s="22" t="s">
        <v>32</v>
      </c>
      <c r="O60" s="23" t="s">
        <v>33</v>
      </c>
      <c r="P60" s="23" t="s">
        <v>34</v>
      </c>
      <c r="Q60" s="23" t="s">
        <v>85</v>
      </c>
      <c r="R60" s="24" t="s">
        <v>90</v>
      </c>
      <c r="S60" s="169" t="s">
        <v>163</v>
      </c>
      <c r="T60" s="169" t="s">
        <v>204</v>
      </c>
    </row>
    <row r="61" spans="1:20" ht="15" customHeight="1">
      <c r="A61" s="33" t="s">
        <v>77</v>
      </c>
      <c r="B61" s="64">
        <f t="shared" ref="B61:D61" si="33">M10</f>
        <v>0</v>
      </c>
      <c r="C61" s="64">
        <f t="shared" si="33"/>
        <v>0</v>
      </c>
      <c r="D61" s="64">
        <f t="shared" si="33"/>
        <v>870.02611300000001</v>
      </c>
      <c r="E61" s="64"/>
      <c r="F61" s="64"/>
      <c r="G61" s="64">
        <f>Q10</f>
        <v>36.939</v>
      </c>
      <c r="H61" s="170">
        <v>71.010000000000005</v>
      </c>
      <c r="I61" s="64">
        <v>87.52</v>
      </c>
      <c r="J61" s="64">
        <v>0</v>
      </c>
      <c r="L61" s="48" t="s">
        <v>51</v>
      </c>
      <c r="M61" s="17">
        <v>43.35</v>
      </c>
      <c r="N61" s="17">
        <v>76.599999999999994</v>
      </c>
      <c r="O61" s="5">
        <v>203.9</v>
      </c>
      <c r="P61" s="5">
        <v>31.55</v>
      </c>
      <c r="Q61" s="5">
        <v>73.400000000000006</v>
      </c>
      <c r="R61" s="5">
        <v>41</v>
      </c>
      <c r="S61" s="160">
        <v>39</v>
      </c>
      <c r="T61" s="181">
        <v>36.1</v>
      </c>
    </row>
    <row r="62" spans="1:20" ht="15" customHeight="1">
      <c r="A62" s="33" t="s">
        <v>75</v>
      </c>
      <c r="B62" s="64">
        <f t="shared" ref="B62:D62" si="34">M34</f>
        <v>0</v>
      </c>
      <c r="C62" s="64">
        <f t="shared" si="34"/>
        <v>0</v>
      </c>
      <c r="D62" s="64">
        <f t="shared" si="34"/>
        <v>65.760679999999994</v>
      </c>
      <c r="E62" s="64"/>
      <c r="F62" s="64"/>
      <c r="G62" s="64">
        <f>Q33+Q35</f>
        <v>66.286000000000001</v>
      </c>
      <c r="H62" s="64">
        <f t="shared" ref="H62:J62" si="35">R33+R35</f>
        <v>38.247</v>
      </c>
      <c r="I62" s="64">
        <f t="shared" si="35"/>
        <v>16.384</v>
      </c>
      <c r="J62" s="64">
        <f t="shared" si="35"/>
        <v>40.212000000000003</v>
      </c>
      <c r="L62" s="48" t="s">
        <v>52</v>
      </c>
      <c r="M62" s="75">
        <f t="shared" ref="M62:S62" si="36">B32</f>
        <v>0</v>
      </c>
      <c r="N62" s="75">
        <f t="shared" si="36"/>
        <v>15.83</v>
      </c>
      <c r="O62" s="60">
        <f t="shared" si="36"/>
        <v>13.99</v>
      </c>
      <c r="P62" s="60">
        <f t="shared" si="36"/>
        <v>0</v>
      </c>
      <c r="Q62" s="60">
        <f t="shared" si="36"/>
        <v>4.79</v>
      </c>
      <c r="R62" s="60">
        <f t="shared" si="36"/>
        <v>3.98</v>
      </c>
      <c r="S62" s="153">
        <f t="shared" si="36"/>
        <v>2.56</v>
      </c>
      <c r="T62" s="182">
        <f>J32</f>
        <v>2.4300000000000002</v>
      </c>
    </row>
    <row r="63" spans="1:20" ht="15" customHeight="1" thickBot="1">
      <c r="A63" s="41" t="s">
        <v>76</v>
      </c>
      <c r="B63" s="62">
        <f t="shared" ref="B63:H63" si="37">B60+B61-B62</f>
        <v>0</v>
      </c>
      <c r="C63" s="62">
        <f t="shared" si="37"/>
        <v>0</v>
      </c>
      <c r="D63" s="62">
        <f t="shared" si="37"/>
        <v>4218.3248257000005</v>
      </c>
      <c r="E63" s="62"/>
      <c r="F63" s="62"/>
      <c r="G63" s="62">
        <f t="shared" si="37"/>
        <v>576.79700000000003</v>
      </c>
      <c r="H63" s="175">
        <f t="shared" si="37"/>
        <v>609.33900000000006</v>
      </c>
      <c r="I63" s="60">
        <f>I60+I61-I62</f>
        <v>664.54599999999994</v>
      </c>
      <c r="J63" s="60">
        <f>J60+J61-J62</f>
        <v>493.49040000000002</v>
      </c>
      <c r="L63" s="49" t="s">
        <v>53</v>
      </c>
      <c r="M63" s="76" t="e">
        <f t="shared" ref="M63:S63" si="38">(M6*1000000)/B59</f>
        <v>#DIV/0!</v>
      </c>
      <c r="N63" s="76" t="e">
        <f t="shared" si="38"/>
        <v>#DIV/0!</v>
      </c>
      <c r="O63" s="64">
        <f t="shared" si="38"/>
        <v>125.07065131538594</v>
      </c>
      <c r="P63" s="64" t="e">
        <f t="shared" si="38"/>
        <v>#DIV/0!</v>
      </c>
      <c r="Q63" s="64" t="e">
        <f t="shared" si="38"/>
        <v>#DIV/0!</v>
      </c>
      <c r="R63" s="64">
        <f t="shared" si="38"/>
        <v>42.72104978354978</v>
      </c>
      <c r="S63" s="170">
        <f t="shared" si="38"/>
        <v>44.061620670995673</v>
      </c>
      <c r="T63" s="183">
        <f>(T6*1000000)/J59</f>
        <v>45.487892316017316</v>
      </c>
    </row>
    <row r="64" spans="1:20" ht="15" customHeight="1">
      <c r="A64" s="179"/>
      <c r="B64" s="1"/>
      <c r="C64" s="1"/>
      <c r="D64" s="1"/>
      <c r="E64" s="1"/>
      <c r="G64" s="1"/>
      <c r="H64" s="1"/>
      <c r="I64" s="1"/>
      <c r="J64" s="1"/>
      <c r="L64" s="49" t="s">
        <v>54</v>
      </c>
      <c r="M64" s="76"/>
      <c r="N64" s="76"/>
      <c r="O64" s="64">
        <v>2</v>
      </c>
      <c r="P64" s="64">
        <v>1.5</v>
      </c>
      <c r="Q64" s="64">
        <v>2</v>
      </c>
      <c r="R64" s="64">
        <v>0</v>
      </c>
      <c r="S64" s="170">
        <v>0</v>
      </c>
      <c r="T64" s="184">
        <v>0</v>
      </c>
    </row>
    <row r="65" spans="1:20" ht="15" customHeight="1">
      <c r="A65" s="179"/>
      <c r="B65" s="1"/>
      <c r="C65" s="1"/>
      <c r="D65" s="1"/>
      <c r="E65" s="1"/>
      <c r="G65" s="1"/>
      <c r="H65" s="1"/>
      <c r="I65" s="1"/>
      <c r="J65" s="1"/>
      <c r="L65" s="49" t="s">
        <v>55</v>
      </c>
      <c r="M65" s="76" t="e">
        <f t="shared" ref="M65:S65" si="39">(M61/M62)</f>
        <v>#DIV/0!</v>
      </c>
      <c r="N65" s="76">
        <f t="shared" si="39"/>
        <v>4.8389134554643078</v>
      </c>
      <c r="O65" s="64">
        <f t="shared" si="39"/>
        <v>14.574696211579701</v>
      </c>
      <c r="P65" s="64" t="e">
        <f t="shared" si="39"/>
        <v>#DIV/0!</v>
      </c>
      <c r="Q65" s="64">
        <f t="shared" si="39"/>
        <v>15.323590814196244</v>
      </c>
      <c r="R65" s="64">
        <f t="shared" si="39"/>
        <v>10.301507537688442</v>
      </c>
      <c r="S65" s="170">
        <f t="shared" si="39"/>
        <v>15.234375</v>
      </c>
      <c r="T65" s="183">
        <f t="shared" ref="T65" si="40">(T61/T62)</f>
        <v>14.8559670781893</v>
      </c>
    </row>
    <row r="66" spans="1:20" ht="15" customHeight="1">
      <c r="A66" s="179"/>
      <c r="B66" s="1"/>
      <c r="C66" s="1"/>
      <c r="D66" s="1"/>
      <c r="E66" s="1"/>
      <c r="G66" s="1"/>
      <c r="H66" s="1"/>
      <c r="I66" s="1"/>
      <c r="J66" s="1"/>
      <c r="L66" s="49" t="s">
        <v>56</v>
      </c>
      <c r="M66" s="76" t="e">
        <f t="shared" ref="M66:S66" si="41">(M61/M63)</f>
        <v>#DIV/0!</v>
      </c>
      <c r="N66" s="76" t="e">
        <f t="shared" si="41"/>
        <v>#DIV/0!</v>
      </c>
      <c r="O66" s="64">
        <f t="shared" si="41"/>
        <v>1.6302785494083105</v>
      </c>
      <c r="P66" s="64" t="e">
        <f t="shared" si="41"/>
        <v>#DIV/0!</v>
      </c>
      <c r="Q66" s="64" t="e">
        <f t="shared" si="41"/>
        <v>#DIV/0!</v>
      </c>
      <c r="R66" s="64">
        <f t="shared" si="41"/>
        <v>0.95971424409583472</v>
      </c>
      <c r="S66" s="170">
        <f t="shared" si="41"/>
        <v>0.88512404687085033</v>
      </c>
      <c r="T66" s="183">
        <f t="shared" ref="T66" si="42">(T61/T63)</f>
        <v>0.79361777743411455</v>
      </c>
    </row>
    <row r="67" spans="1:20" ht="15" customHeight="1">
      <c r="A67" s="179"/>
      <c r="B67" s="1"/>
      <c r="C67" s="1"/>
      <c r="D67" s="1"/>
      <c r="E67" s="1"/>
      <c r="G67" s="1"/>
      <c r="H67" s="1"/>
      <c r="I67" s="1"/>
      <c r="J67" s="1"/>
      <c r="L67" s="49" t="s">
        <v>57</v>
      </c>
      <c r="M67" s="76" t="e">
        <f t="shared" ref="M67:S67" si="43">B63/B13</f>
        <v>#DIV/0!</v>
      </c>
      <c r="N67" s="76">
        <f t="shared" si="43"/>
        <v>0</v>
      </c>
      <c r="O67" s="64">
        <f t="shared" si="43"/>
        <v>9.0594118689254337</v>
      </c>
      <c r="P67" s="64" t="e">
        <f t="shared" si="43"/>
        <v>#DIV/0!</v>
      </c>
      <c r="Q67" s="64">
        <f t="shared" si="43"/>
        <v>0</v>
      </c>
      <c r="R67" s="64">
        <f t="shared" si="43"/>
        <v>6.9695984726736659</v>
      </c>
      <c r="S67" s="170">
        <f t="shared" si="43"/>
        <v>10.568343826421742</v>
      </c>
      <c r="T67" s="183">
        <f>J63/J13</f>
        <v>11.390693380112651</v>
      </c>
    </row>
    <row r="68" spans="1:20" ht="15" customHeight="1">
      <c r="A68" s="179"/>
      <c r="B68" s="1"/>
      <c r="C68" s="1"/>
      <c r="D68" s="1"/>
      <c r="E68" s="1"/>
      <c r="G68" s="1"/>
      <c r="H68" s="1"/>
      <c r="I68" s="1"/>
      <c r="J68" s="1"/>
      <c r="L68" s="50" t="s">
        <v>58</v>
      </c>
      <c r="M68" s="58" t="e">
        <f t="shared" ref="M68:S68" si="44">(B24/M6)</f>
        <v>#DIV/0!</v>
      </c>
      <c r="N68" s="58" t="e">
        <f t="shared" si="44"/>
        <v>#DIV/0!</v>
      </c>
      <c r="O68" s="58">
        <f t="shared" si="44"/>
        <v>0.12281918366643887</v>
      </c>
      <c r="P68" s="58" t="e">
        <f t="shared" si="44"/>
        <v>#DIV/0!</v>
      </c>
      <c r="Q68" s="58">
        <f t="shared" si="44"/>
        <v>0.10584260248696892</v>
      </c>
      <c r="R68" s="58">
        <f t="shared" si="44"/>
        <v>9.3222163815652001E-2</v>
      </c>
      <c r="S68" s="161">
        <f t="shared" si="44"/>
        <v>5.8126486206012754E-2</v>
      </c>
      <c r="T68" s="185">
        <f>(J24/T6)</f>
        <v>5.3338845162700509E-2</v>
      </c>
    </row>
    <row r="69" spans="1:20" ht="15" customHeight="1">
      <c r="A69" s="179"/>
      <c r="L69" s="50" t="s">
        <v>59</v>
      </c>
      <c r="M69" s="58" t="e">
        <f>(B21+B19)/M11</f>
        <v>#DIV/0!</v>
      </c>
      <c r="N69" s="58" t="e">
        <f>(C21+C19)/N11</f>
        <v>#DIV/0!</v>
      </c>
      <c r="O69" s="58">
        <f>(D13-D18)/O11</f>
        <v>0.15818938110504371</v>
      </c>
      <c r="P69" s="58" t="e">
        <f>(E13-E18)/P11</f>
        <v>#DIV/0!</v>
      </c>
      <c r="Q69" s="58">
        <f>(F13-F18)/Q11</f>
        <v>0.12711928086358409</v>
      </c>
      <c r="R69" s="65">
        <f>(G13-G18)/R11</f>
        <v>0.10965926253802011</v>
      </c>
      <c r="S69" s="171">
        <f>(H13-H18)/S11</f>
        <v>6.7829714922268719E-2</v>
      </c>
      <c r="T69" s="186">
        <f>(J13-J18)/T11</f>
        <v>5.6102035467808085E-2</v>
      </c>
    </row>
    <row r="70" spans="1:20" ht="15" customHeight="1">
      <c r="A70" s="179"/>
      <c r="L70" s="49" t="s">
        <v>60</v>
      </c>
      <c r="M70" s="77" t="e">
        <f t="shared" ref="M70:S70" si="45">(M10/M6)</f>
        <v>#DIV/0!</v>
      </c>
      <c r="N70" s="77" t="e">
        <f t="shared" si="45"/>
        <v>#DIV/0!</v>
      </c>
      <c r="O70" s="64">
        <f t="shared" si="45"/>
        <v>0.41545408157860569</v>
      </c>
      <c r="P70" s="64" t="e">
        <f t="shared" si="45"/>
        <v>#DIV/0!</v>
      </c>
      <c r="Q70" s="64">
        <f t="shared" si="45"/>
        <v>6.3461003240137856E-2</v>
      </c>
      <c r="R70" s="64">
        <f t="shared" si="45"/>
        <v>0.11243405511187674</v>
      </c>
      <c r="S70" s="170">
        <f t="shared" si="45"/>
        <v>0.13435686137852371</v>
      </c>
      <c r="T70" s="183">
        <f>(T10/T6)</f>
        <v>0</v>
      </c>
    </row>
    <row r="71" spans="1:20" ht="15" customHeight="1">
      <c r="A71" s="179"/>
      <c r="L71" s="49" t="s">
        <v>61</v>
      </c>
      <c r="M71" s="77" t="e">
        <f t="shared" ref="M71:S71" si="46">(M10-M34)/M6</f>
        <v>#DIV/0!</v>
      </c>
      <c r="N71" s="77" t="e">
        <f t="shared" si="46"/>
        <v>#DIV/0!</v>
      </c>
      <c r="O71" s="64">
        <f t="shared" si="46"/>
        <v>0.38405210121829375</v>
      </c>
      <c r="P71" s="64" t="e">
        <f t="shared" si="46"/>
        <v>#DIV/0!</v>
      </c>
      <c r="Q71" s="64">
        <f t="shared" si="46"/>
        <v>6.3461003240137856E-2</v>
      </c>
      <c r="R71" s="64">
        <f t="shared" si="46"/>
        <v>0.11243405511187674</v>
      </c>
      <c r="S71" s="170">
        <f t="shared" si="46"/>
        <v>0.13435686137852371</v>
      </c>
      <c r="T71" s="183">
        <f>(T10-T34)/T6</f>
        <v>0</v>
      </c>
    </row>
    <row r="72" spans="1:20" ht="15" customHeight="1">
      <c r="A72" s="179"/>
      <c r="L72" s="49" t="s">
        <v>62</v>
      </c>
      <c r="M72" s="66">
        <f t="shared" ref="M72:S72" si="47">(M64/M61)</f>
        <v>0</v>
      </c>
      <c r="N72" s="66">
        <f t="shared" si="47"/>
        <v>0</v>
      </c>
      <c r="O72" s="66">
        <f t="shared" si="47"/>
        <v>9.8087297694948502E-3</v>
      </c>
      <c r="P72" s="66">
        <f t="shared" si="47"/>
        <v>4.7543581616481777E-2</v>
      </c>
      <c r="Q72" s="66">
        <f t="shared" si="47"/>
        <v>2.7247956403269751E-2</v>
      </c>
      <c r="R72" s="67">
        <f t="shared" si="47"/>
        <v>0</v>
      </c>
      <c r="S72" s="172">
        <f t="shared" si="47"/>
        <v>0</v>
      </c>
      <c r="T72" s="187">
        <f t="shared" ref="T72" si="48">(T64/T61)</f>
        <v>0</v>
      </c>
    </row>
    <row r="73" spans="1:20" ht="15" customHeight="1">
      <c r="A73" s="179"/>
      <c r="L73" s="49" t="s">
        <v>63</v>
      </c>
      <c r="M73" s="78"/>
      <c r="N73" s="79" t="e">
        <f>(AVERAGE(M32:N32)/#REF!*365)</f>
        <v>#DIV/0!</v>
      </c>
      <c r="O73" s="68">
        <f>(AVERAGE(N32:O32)/D4*365)</f>
        <v>142.5032338573908</v>
      </c>
      <c r="P73" s="68" t="e">
        <f>(AVERAGE(O32:P32)/E4*365)</f>
        <v>#DIV/0!</v>
      </c>
      <c r="Q73" s="68">
        <f>(AVERAGE(P32:Q32)/F4*365)</f>
        <v>82.751595249543456</v>
      </c>
      <c r="R73" s="68">
        <f>(AVERAGE(Q32:R32)/G4*365)</f>
        <v>76.552593819473358</v>
      </c>
      <c r="S73" s="173">
        <f>(AVERAGE(R32:S32)/H4*365)</f>
        <v>86.434337966885266</v>
      </c>
      <c r="T73" s="188">
        <f>(AVERAGE(S32:T32)/J4*365)</f>
        <v>164.88861618744431</v>
      </c>
    </row>
    <row r="74" spans="1:20" ht="15" customHeight="1">
      <c r="A74" s="179"/>
      <c r="L74" s="49" t="s">
        <v>64</v>
      </c>
      <c r="M74" s="78"/>
      <c r="N74" s="79" t="e">
        <f>AVERAGE(M42:N42)/(C8+C9)*365</f>
        <v>#DIV/0!</v>
      </c>
      <c r="O74" s="68">
        <f>AVERAGE(N42:O42)/(D8+D9)*365</f>
        <v>70.843661827859492</v>
      </c>
      <c r="P74" s="68" t="e">
        <f>AVERAGE(O42:P42)/(E8+E9)*365</f>
        <v>#DIV/0!</v>
      </c>
      <c r="Q74" s="68" t="e">
        <f>AVERAGE(P42:Q42)/(F8+F9)*365</f>
        <v>#DIV/0!</v>
      </c>
      <c r="R74" s="68" t="e">
        <f>AVERAGE(Q42:R42)/(G8+G9)*365</f>
        <v>#DIV/0!</v>
      </c>
      <c r="S74" s="173">
        <f>AVERAGE(R42:S42)/(H7)*365</f>
        <v>7.8286279787951694</v>
      </c>
      <c r="T74" s="188">
        <f>AVERAGE(S42:T42)/(J7)*365</f>
        <v>23.212555031100813</v>
      </c>
    </row>
    <row r="75" spans="1:20" ht="15" customHeight="1">
      <c r="A75" s="179"/>
      <c r="L75" s="49" t="s">
        <v>65</v>
      </c>
      <c r="M75" s="202"/>
      <c r="N75" s="190" t="e">
        <f>(AVERAGE(M30:N30)/(C8+C9)*365)</f>
        <v>#DIV/0!</v>
      </c>
      <c r="O75" s="26">
        <f>(AVERAGE(N30:O30)/(D8+D9)*365)</f>
        <v>219.998975817066</v>
      </c>
      <c r="P75" s="26" t="e">
        <f>(AVERAGE(O30:P30)/(E8+E9)*365)</f>
        <v>#DIV/0!</v>
      </c>
      <c r="Q75" s="26" t="e">
        <f>(AVERAGE(P30:Q30)/(F8+F9)*365)</f>
        <v>#DIV/0!</v>
      </c>
      <c r="R75" s="26" t="e">
        <f>(AVERAGE(Q30:R30)/(G8+G9)*365)</f>
        <v>#DIV/0!</v>
      </c>
      <c r="S75" s="191" t="e">
        <f>(AVERAGE(R30:S30)/(H7)*365)</f>
        <v>#DIV/0!</v>
      </c>
      <c r="T75" s="192" t="e">
        <f>(AVERAGE(S30:T30)/(I7)*365)</f>
        <v>#DIV/0!</v>
      </c>
    </row>
    <row r="76" spans="1:20" ht="15" customHeight="1">
      <c r="A76" s="179"/>
      <c r="L76" s="49" t="s">
        <v>81</v>
      </c>
      <c r="M76" s="190"/>
      <c r="N76" s="190" t="e">
        <f t="shared" ref="N76:R76" si="49">(N75+N73-N74)</f>
        <v>#DIV/0!</v>
      </c>
      <c r="O76" s="26">
        <f t="shared" si="49"/>
        <v>291.65854784659734</v>
      </c>
      <c r="P76" s="26" t="e">
        <f t="shared" si="49"/>
        <v>#DIV/0!</v>
      </c>
      <c r="Q76" s="26" t="e">
        <f t="shared" si="49"/>
        <v>#DIV/0!</v>
      </c>
      <c r="R76" s="26" t="e">
        <f t="shared" si="49"/>
        <v>#DIV/0!</v>
      </c>
      <c r="S76" s="191" t="e">
        <f t="shared" ref="S76" si="50">(S75+S73-S74)</f>
        <v>#DIV/0!</v>
      </c>
      <c r="T76" s="192" t="e">
        <f>(T75+T73-T74)</f>
        <v>#DIV/0!</v>
      </c>
    </row>
    <row r="77" spans="1:20" ht="15" customHeight="1">
      <c r="A77" s="179"/>
      <c r="L77" s="49" t="s">
        <v>66</v>
      </c>
      <c r="M77" s="190"/>
      <c r="N77" s="190" t="e">
        <f>AVERAGE(M49:N49)/#REF!*365</f>
        <v>#REF!</v>
      </c>
      <c r="O77" s="26">
        <f>AVERAGE(N49:O49)/D4*365</f>
        <v>55.60554900069603</v>
      </c>
      <c r="P77" s="26" t="e">
        <f>AVERAGE(O49:P49)/E4*365</f>
        <v>#DIV/0!</v>
      </c>
      <c r="Q77" s="26">
        <f>AVERAGE(P49:Q49)/F4*365</f>
        <v>30.31933414023511</v>
      </c>
      <c r="R77" s="26">
        <f>AVERAGE(Q49:R49)/G4*365</f>
        <v>46.138763832149515</v>
      </c>
      <c r="S77" s="191">
        <f>AVERAGE(R49:S49)/H4*365</f>
        <v>39.853478301797978</v>
      </c>
      <c r="T77" s="192" t="e">
        <f>AVERAGE(S48:T48)/I4*365</f>
        <v>#DIV/0!</v>
      </c>
    </row>
    <row r="78" spans="1:20" ht="15" customHeight="1" thickBot="1">
      <c r="A78" s="197"/>
      <c r="B78" s="189"/>
      <c r="C78" s="189"/>
      <c r="D78" s="189"/>
      <c r="E78" s="189"/>
      <c r="F78" s="198"/>
      <c r="G78" s="189"/>
      <c r="H78" s="189"/>
      <c r="I78" s="189"/>
      <c r="J78" s="189"/>
      <c r="K78" s="198"/>
      <c r="L78" s="51" t="s">
        <v>86</v>
      </c>
      <c r="M78" s="193"/>
      <c r="N78" s="194" t="e">
        <f>C19/N10</f>
        <v>#DIV/0!</v>
      </c>
      <c r="O78" s="194">
        <f>D19/O10</f>
        <v>0.15133434736343368</v>
      </c>
      <c r="P78" s="194" t="e">
        <f>E19/P10</f>
        <v>#DIV/0!</v>
      </c>
      <c r="Q78" s="194">
        <f>F19/Q10</f>
        <v>0.27827878394109207</v>
      </c>
      <c r="R78" s="194">
        <v>0</v>
      </c>
      <c r="S78" s="195">
        <v>0</v>
      </c>
      <c r="T78" s="196">
        <v>0</v>
      </c>
    </row>
    <row r="79" spans="1:20" ht="15" customHeight="1" thickBot="1">
      <c r="L79" s="35" t="s">
        <v>106</v>
      </c>
      <c r="M79" s="36"/>
      <c r="N79" s="36"/>
      <c r="O79" s="199">
        <f>(D13-D18)/D19</f>
        <v>2.7903646314550494</v>
      </c>
      <c r="P79" s="199" t="e">
        <f>(E13-E18)/E19</f>
        <v>#DIV/0!</v>
      </c>
      <c r="Q79" s="199">
        <f>(F13-F18)/F19</f>
        <v>7.6537274766667851</v>
      </c>
      <c r="R79" s="199">
        <f>(G13-G18)/G19</f>
        <v>6.4695191883546554</v>
      </c>
      <c r="S79" s="200">
        <f>(H13-H18)/H19</f>
        <v>2.8372267332917018</v>
      </c>
      <c r="T79" s="201">
        <f>(J13-J18)/J19</f>
        <v>11.081967213114741</v>
      </c>
    </row>
    <row r="81" spans="13:16" ht="15" customHeight="1">
      <c r="M81" s="28"/>
      <c r="N81" s="28"/>
      <c r="O81" s="28"/>
      <c r="P81" s="28"/>
    </row>
    <row r="93" spans="13:16" ht="15" customHeight="1">
      <c r="M93" s="1"/>
    </row>
    <row r="94" spans="13:16" ht="15" customHeight="1">
      <c r="M94" s="1"/>
    </row>
    <row r="95" spans="13:16" ht="15" customHeight="1">
      <c r="M95" s="1"/>
    </row>
    <row r="96" spans="13:16" ht="15" customHeight="1">
      <c r="M96" s="29"/>
    </row>
  </sheetData>
  <mergeCells count="5">
    <mergeCell ref="L59:S59"/>
    <mergeCell ref="A37:H37"/>
    <mergeCell ref="A2:I2"/>
    <mergeCell ref="A1:T1"/>
    <mergeCell ref="L2:T2"/>
  </mergeCells>
  <phoneticPr fontId="21" type="noConversion"/>
  <printOptions horizontalCentered="1"/>
  <pageMargins left="0.23622047244094491" right="0.23622047244094491" top="0.23622047244094491" bottom="0.23622047244094491" header="0.31496062992125984" footer="0.31496062992125984"/>
  <pageSetup paperSize="9" scale="47" orientation="landscape" horizontalDpi="1200" verticalDpi="1200" r:id="rId1"/>
  <ignoredErrors>
    <ignoredError sqref="L78:Q78 L73:N75 K7:S7 K9:O9 L10:S10 M15:N15 L57:S59 L55:N55 L41:S41 D35:H36 M19:O19 L31:N31 L29:O29 L30:O30 M22:N22 M23:O23 S31 L32:O32 M54:P54 L51:O51 L12:Q12 D4 E30:H30 D64:H69 L62:S63 L61 L76:R76 L72:R72 L65:S68 B27:C28 D45:H47 L48:S49 L42:O42 L64:N64 D38:H38 M38:N39 D29:H29 D56:H58 D52:D53 D14:H14 D27 D22 E33:H33 M37:O37 M36:O36 L47:O47 L44:O44 M53:O53 D48:D50 D55 D7:H7 D6:G6 D15:G15 E31:G31 D34:G34 D23:H23 B14:C15 B22:C24 B21 L77:N77 L70:S71 L69:O69 Q69:S69 B11:D12 D44 B5:C9 B20:F20 D8:D9 K14:K69 M34:O34 L16:O16 M20:O20 M24:O24 M25:O25 L56:P56 K8:O8 L45:O45 L46:O46 L50:O50 K12:K13 K11 B18:D19 D39 D40 D41 D42 D43 D60:D63 D24 F24:H24 G63:H63 G60 L11:P11 L60:P60" evalError="1"/>
    <ignoredError sqref="O74:R75" evalError="1" formulaRange="1"/>
    <ignoredError sqref="S56" formula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S103"/>
  <sheetViews>
    <sheetView tabSelected="1" topLeftCell="A31" zoomScale="70" zoomScaleNormal="70" zoomScaleSheetLayoutView="85" workbookViewId="0">
      <selection activeCell="I11" sqref="I11:L11"/>
    </sheetView>
  </sheetViews>
  <sheetFormatPr defaultColWidth="9.109375" defaultRowHeight="15" customHeight="1"/>
  <cols>
    <col min="1" max="1" width="52.109375" style="302" customWidth="1"/>
    <col min="2" max="6" width="16.109375" style="309" customWidth="1"/>
    <col min="7" max="7" width="4.6640625" style="270" customWidth="1"/>
    <col min="8" max="8" width="51.33203125" style="302" bestFit="1" customWidth="1"/>
    <col min="9" max="12" width="15.109375" style="305" customWidth="1"/>
    <col min="13" max="13" width="13.109375" style="269" customWidth="1"/>
    <col min="14" max="14" width="10.109375" style="269" bestFit="1" customWidth="1"/>
    <col min="15" max="15" width="9.109375" style="269"/>
    <col min="16" max="16" width="9.5546875" style="269" bestFit="1" customWidth="1"/>
    <col min="17" max="17" width="10.6640625" style="269" bestFit="1" customWidth="1"/>
    <col min="18" max="16384" width="9.109375" style="269"/>
  </cols>
  <sheetData>
    <row r="1" spans="1:19" ht="15" customHeight="1" thickBot="1">
      <c r="A1" s="331" t="s">
        <v>220</v>
      </c>
      <c r="B1" s="332"/>
      <c r="C1" s="332"/>
      <c r="D1" s="332"/>
      <c r="E1" s="332"/>
      <c r="F1" s="332"/>
      <c r="G1" s="332"/>
      <c r="H1" s="333"/>
      <c r="I1" s="333"/>
      <c r="J1" s="318"/>
      <c r="K1" s="318"/>
      <c r="L1" s="318"/>
    </row>
    <row r="2" spans="1:19" ht="15" customHeight="1">
      <c r="A2" s="335" t="s">
        <v>104</v>
      </c>
      <c r="B2" s="336"/>
      <c r="C2" s="336"/>
      <c r="D2" s="336"/>
      <c r="E2" s="321"/>
      <c r="F2" s="321"/>
      <c r="G2" s="272"/>
      <c r="H2" s="334" t="s">
        <v>105</v>
      </c>
      <c r="I2" s="334"/>
      <c r="J2" s="319"/>
      <c r="K2" s="319"/>
      <c r="L2" s="319"/>
      <c r="M2" s="271"/>
      <c r="N2" s="271"/>
      <c r="O2" s="271"/>
      <c r="P2" s="271"/>
      <c r="Q2" s="271"/>
      <c r="R2" s="271"/>
      <c r="S2" s="271"/>
    </row>
    <row r="3" spans="1:19" ht="15" customHeight="1">
      <c r="A3" s="294" t="s">
        <v>238</v>
      </c>
      <c r="B3" s="307" t="s">
        <v>209</v>
      </c>
      <c r="C3" s="307" t="s">
        <v>210</v>
      </c>
      <c r="D3" s="307" t="s">
        <v>212</v>
      </c>
      <c r="E3" s="307" t="s">
        <v>213</v>
      </c>
      <c r="F3" s="307" t="s">
        <v>216</v>
      </c>
      <c r="G3" s="272"/>
      <c r="H3" s="294" t="s">
        <v>238</v>
      </c>
      <c r="I3" s="316" t="s">
        <v>209</v>
      </c>
      <c r="J3" s="316" t="s">
        <v>210</v>
      </c>
      <c r="K3" s="316" t="s">
        <v>212</v>
      </c>
      <c r="L3" s="307" t="s">
        <v>213</v>
      </c>
    </row>
    <row r="4" spans="1:19" ht="15" customHeight="1">
      <c r="A4" s="295" t="s">
        <v>1</v>
      </c>
      <c r="B4" s="269">
        <v>1027.8290000000002</v>
      </c>
      <c r="C4" s="269">
        <v>677.08600000000001</v>
      </c>
      <c r="D4" s="269">
        <v>954.76800000000003</v>
      </c>
      <c r="E4" s="269">
        <v>1213.0700000000002</v>
      </c>
      <c r="F4" s="269">
        <v>173.75899999999999</v>
      </c>
      <c r="G4" s="273"/>
      <c r="H4" s="298" t="s">
        <v>36</v>
      </c>
      <c r="I4" s="352">
        <v>263.673</v>
      </c>
      <c r="J4" s="352">
        <v>263.673</v>
      </c>
      <c r="K4" s="352">
        <v>396.16300000000001</v>
      </c>
      <c r="L4" s="352">
        <v>496.07</v>
      </c>
    </row>
    <row r="5" spans="1:19" ht="15" customHeight="1">
      <c r="A5" s="296" t="s">
        <v>2</v>
      </c>
      <c r="B5" s="283" t="s">
        <v>208</v>
      </c>
      <c r="C5" s="283">
        <f>(C4/B4-1)</f>
        <v>-0.34124645247409846</v>
      </c>
      <c r="D5" s="283">
        <f>(D4/C4-1)</f>
        <v>0.41011333863054333</v>
      </c>
      <c r="E5" s="283">
        <f>(E4/D4-1)</f>
        <v>0.27053902099777138</v>
      </c>
      <c r="F5" s="283"/>
      <c r="G5" s="274"/>
      <c r="H5" s="298" t="s">
        <v>37</v>
      </c>
      <c r="I5" s="352">
        <v>-359.238</v>
      </c>
      <c r="J5" s="352">
        <v>-476.25900000000001</v>
      </c>
      <c r="K5" s="352">
        <v>-220.79400000000001</v>
      </c>
      <c r="L5" s="352">
        <v>122.73599999999999</v>
      </c>
    </row>
    <row r="6" spans="1:19" ht="15.6">
      <c r="A6" s="297" t="s">
        <v>108</v>
      </c>
      <c r="B6" s="283" t="s">
        <v>208</v>
      </c>
      <c r="C6" s="283" t="s">
        <v>208</v>
      </c>
      <c r="D6" s="283" t="s">
        <v>208</v>
      </c>
      <c r="E6" s="283">
        <f>+((E4/B4)^(1/3)-1)</f>
        <v>5.6789116071585655E-2</v>
      </c>
      <c r="F6" s="283"/>
      <c r="G6" s="274"/>
      <c r="H6" s="298" t="s">
        <v>232</v>
      </c>
      <c r="I6" s="352">
        <v>0</v>
      </c>
      <c r="J6" s="352">
        <v>0</v>
      </c>
      <c r="K6" s="352">
        <v>84.563000000000002</v>
      </c>
      <c r="L6" s="352">
        <v>137.45999999999998</v>
      </c>
      <c r="N6" s="269">
        <v>10</v>
      </c>
    </row>
    <row r="7" spans="1:19" ht="15" customHeight="1">
      <c r="A7" s="295" t="s">
        <v>3</v>
      </c>
      <c r="B7" s="286">
        <f>SUM(B8:B12)</f>
        <v>1280.223</v>
      </c>
      <c r="C7" s="286">
        <f>SUM(C8:C12)</f>
        <v>796.22</v>
      </c>
      <c r="D7" s="286">
        <f>SUM(D8:D12)</f>
        <v>918.21800000000007</v>
      </c>
      <c r="E7" s="286">
        <f>SUM(E8:E12)</f>
        <v>1078.9090000000001</v>
      </c>
      <c r="F7" s="286">
        <f>SUM(F8:F12)</f>
        <v>145.87500000000003</v>
      </c>
      <c r="G7" s="275"/>
      <c r="H7" s="299" t="s">
        <v>38</v>
      </c>
      <c r="I7" s="311">
        <f t="shared" ref="I7:J7" si="0">(I4+I5+I6)</f>
        <v>-95.564999999999998</v>
      </c>
      <c r="J7" s="311">
        <f t="shared" si="0"/>
        <v>-212.58600000000001</v>
      </c>
      <c r="K7" s="311">
        <f>(K4+K5+K6)</f>
        <v>259.93200000000002</v>
      </c>
      <c r="L7" s="311">
        <f>(L4+L5+L6)</f>
        <v>756.26600000000008</v>
      </c>
    </row>
    <row r="8" spans="1:19" ht="15" customHeight="1">
      <c r="A8" s="298" t="s">
        <v>67</v>
      </c>
      <c r="B8" s="352">
        <v>83.084000000000003</v>
      </c>
      <c r="C8" s="352">
        <v>47.97</v>
      </c>
      <c r="D8" s="352">
        <v>40.244999999999997</v>
      </c>
      <c r="E8" s="352">
        <v>63.100999999999999</v>
      </c>
      <c r="F8" s="352">
        <v>17.990000000000002</v>
      </c>
      <c r="G8" s="275"/>
      <c r="H8" s="298" t="s">
        <v>39</v>
      </c>
      <c r="I8" s="352">
        <v>-4.26</v>
      </c>
      <c r="J8" s="352">
        <v>-3.3069999999999999</v>
      </c>
      <c r="K8" s="352">
        <v>-9.8000000000000004E-2</v>
      </c>
      <c r="L8" s="352">
        <v>0</v>
      </c>
    </row>
    <row r="9" spans="1:19" ht="15" customHeight="1">
      <c r="A9" s="298" t="s">
        <v>217</v>
      </c>
      <c r="B9" s="352">
        <v>587.22</v>
      </c>
      <c r="C9" s="352">
        <v>524.59899999999993</v>
      </c>
      <c r="D9" s="352">
        <v>672.62200000000007</v>
      </c>
      <c r="E9" s="352">
        <v>717.29700000000003</v>
      </c>
      <c r="F9" s="352">
        <v>64.38300000000001</v>
      </c>
      <c r="G9" s="274"/>
      <c r="H9" s="298" t="s">
        <v>40</v>
      </c>
      <c r="I9" s="352">
        <v>4.3499999999999996</v>
      </c>
      <c r="J9" s="352">
        <v>14.657</v>
      </c>
      <c r="K9" s="352">
        <v>20.706</v>
      </c>
      <c r="L9" s="352">
        <v>22.983000000000001</v>
      </c>
    </row>
    <row r="10" spans="1:19" ht="15" customHeight="1">
      <c r="A10" s="298" t="s">
        <v>218</v>
      </c>
      <c r="B10" s="352">
        <v>0</v>
      </c>
      <c r="C10" s="352">
        <v>0</v>
      </c>
      <c r="D10" s="352">
        <v>0</v>
      </c>
      <c r="E10" s="352">
        <v>0</v>
      </c>
      <c r="F10" s="352">
        <v>0</v>
      </c>
      <c r="G10" s="274"/>
      <c r="H10" s="298" t="s">
        <v>41</v>
      </c>
      <c r="I10" s="352">
        <v>10.43</v>
      </c>
      <c r="J10" s="352">
        <v>38.504000000000005</v>
      </c>
      <c r="K10" s="352">
        <v>57.501999999999995</v>
      </c>
      <c r="L10" s="352">
        <v>45.480000000000004</v>
      </c>
    </row>
    <row r="11" spans="1:19" ht="15" customHeight="1">
      <c r="A11" s="298" t="s">
        <v>219</v>
      </c>
      <c r="B11" s="352">
        <v>147.88299999999998</v>
      </c>
      <c r="C11" s="352">
        <v>11.773999999999999</v>
      </c>
      <c r="D11" s="352">
        <v>12.956999999999999</v>
      </c>
      <c r="E11" s="352">
        <v>-33.575000000000003</v>
      </c>
      <c r="F11" s="352">
        <v>14.300999999999998</v>
      </c>
      <c r="G11" s="274"/>
      <c r="H11" s="299" t="s">
        <v>42</v>
      </c>
      <c r="I11" s="311">
        <f>SUM(I9:I10)</f>
        <v>14.78</v>
      </c>
      <c r="J11" s="311">
        <f>SUM(J9:J10)</f>
        <v>53.161000000000001</v>
      </c>
      <c r="K11" s="311">
        <f>SUM(K9:K10)</f>
        <v>78.207999999999998</v>
      </c>
      <c r="L11" s="311">
        <f t="shared" ref="L11" si="1">SUM(L9:L10)</f>
        <v>68.463000000000008</v>
      </c>
    </row>
    <row r="12" spans="1:19" ht="15" customHeight="1">
      <c r="A12" s="298" t="s">
        <v>68</v>
      </c>
      <c r="B12" s="352">
        <v>462.03599999999994</v>
      </c>
      <c r="C12" s="352">
        <v>211.87700000000001</v>
      </c>
      <c r="D12" s="352">
        <v>192.39400000000001</v>
      </c>
      <c r="E12" s="352">
        <v>332.08600000000001</v>
      </c>
      <c r="F12" s="352">
        <v>49.201000000000001</v>
      </c>
      <c r="G12" s="274"/>
      <c r="H12" s="299" t="s">
        <v>43</v>
      </c>
      <c r="I12" s="311"/>
      <c r="J12" s="311"/>
      <c r="K12" s="311"/>
      <c r="L12" s="311"/>
      <c r="M12" s="276"/>
    </row>
    <row r="13" spans="1:19" ht="15" customHeight="1">
      <c r="A13" s="299" t="s">
        <v>4</v>
      </c>
      <c r="B13" s="286">
        <f>(B4-B7)</f>
        <v>-252.39399999999978</v>
      </c>
      <c r="C13" s="286">
        <f>(C4-C7)</f>
        <v>-119.13400000000001</v>
      </c>
      <c r="D13" s="286">
        <f>(D4-D7)</f>
        <v>36.549999999999955</v>
      </c>
      <c r="E13" s="286">
        <f>(E4-E7)</f>
        <v>134.16100000000006</v>
      </c>
      <c r="F13" s="286">
        <f>(F4-F7)</f>
        <v>27.883999999999958</v>
      </c>
      <c r="G13" s="274"/>
      <c r="H13" s="298"/>
      <c r="I13" s="315"/>
      <c r="J13" s="315"/>
      <c r="K13" s="315"/>
      <c r="L13" s="315"/>
    </row>
    <row r="14" spans="1:19" ht="15" customHeight="1">
      <c r="A14" s="296" t="s">
        <v>2</v>
      </c>
      <c r="B14" s="283" t="s">
        <v>208</v>
      </c>
      <c r="C14" s="280" t="s">
        <v>208</v>
      </c>
      <c r="D14" s="280" t="s">
        <v>208</v>
      </c>
      <c r="E14" s="283">
        <f>(E13/D13-1)</f>
        <v>2.6706155950752457</v>
      </c>
      <c r="F14" s="283"/>
      <c r="G14" s="274"/>
      <c r="H14" s="326" t="s">
        <v>231</v>
      </c>
      <c r="I14" s="327">
        <f>I15+I27</f>
        <v>618.10599999999999</v>
      </c>
      <c r="J14" s="327">
        <f t="shared" ref="J14" si="2">J15+J27</f>
        <v>465.39200000000005</v>
      </c>
      <c r="K14" s="327">
        <f>K15+K27</f>
        <v>919.68600000000015</v>
      </c>
      <c r="L14" s="327">
        <f t="shared" ref="L14" si="3">L15+L27</f>
        <v>1190.2740000000001</v>
      </c>
    </row>
    <row r="15" spans="1:19" ht="15" customHeight="1">
      <c r="A15" s="297" t="s">
        <v>108</v>
      </c>
      <c r="B15" s="283" t="s">
        <v>208</v>
      </c>
      <c r="C15" s="283" t="s">
        <v>208</v>
      </c>
      <c r="D15" s="283" t="s">
        <v>208</v>
      </c>
      <c r="E15" s="283">
        <f>+((E13/B13)^(1/3)-1)</f>
        <v>-1.8100573248176617</v>
      </c>
      <c r="F15" s="283"/>
      <c r="G15" s="274"/>
      <c r="H15" s="299" t="s">
        <v>102</v>
      </c>
      <c r="I15" s="311">
        <f t="shared" ref="I15:J15" si="4">I16+I18+I20+I24+I25+I22+I23</f>
        <v>164.46300000000002</v>
      </c>
      <c r="J15" s="311">
        <f t="shared" si="4"/>
        <v>133.88400000000001</v>
      </c>
      <c r="K15" s="311">
        <f>K16+K18+K20+K24+K25+K22+K23</f>
        <v>320.286</v>
      </c>
      <c r="L15" s="311">
        <f>L16+L18+L20+L24+L25+L22+L23</f>
        <v>329.86999999999995</v>
      </c>
    </row>
    <row r="16" spans="1:19" ht="15" customHeight="1">
      <c r="A16" s="300" t="s">
        <v>5</v>
      </c>
      <c r="B16" s="287">
        <f>(B13/B4)</f>
        <v>-0.24556030234601256</v>
      </c>
      <c r="C16" s="287">
        <f t="shared" ref="C16:F16" si="5">(C13/C4)</f>
        <v>-0.17595106086966797</v>
      </c>
      <c r="D16" s="287">
        <f t="shared" si="5"/>
        <v>3.8281551120272102E-2</v>
      </c>
      <c r="E16" s="287">
        <f t="shared" si="5"/>
        <v>0.11059625578078762</v>
      </c>
      <c r="F16" s="287">
        <f t="shared" si="5"/>
        <v>0.16047514085601297</v>
      </c>
      <c r="G16" s="274"/>
      <c r="H16" s="298" t="s">
        <v>96</v>
      </c>
      <c r="I16" s="352">
        <v>139.38499999999999</v>
      </c>
      <c r="J16" s="352">
        <v>111.98699999999999</v>
      </c>
      <c r="K16" s="352">
        <v>100.413</v>
      </c>
      <c r="L16" s="352">
        <f>(726.92+446.16)/10</f>
        <v>117.30799999999999</v>
      </c>
      <c r="M16" s="353"/>
    </row>
    <row r="17" spans="1:13" ht="15" customHeight="1">
      <c r="A17" s="298" t="s">
        <v>6</v>
      </c>
      <c r="B17" s="352">
        <v>137.40600000000001</v>
      </c>
      <c r="C17" s="352">
        <v>47.777999999999999</v>
      </c>
      <c r="D17" s="352">
        <v>18.178999999999998</v>
      </c>
      <c r="E17" s="352">
        <v>20.667999999999999</v>
      </c>
      <c r="F17" s="352">
        <v>0.29100000000000004</v>
      </c>
      <c r="G17" s="274"/>
      <c r="H17" s="298" t="s">
        <v>221</v>
      </c>
      <c r="I17" s="352">
        <v>0</v>
      </c>
      <c r="J17" s="352">
        <v>0</v>
      </c>
      <c r="K17" s="352">
        <v>0</v>
      </c>
      <c r="L17" s="352">
        <v>0</v>
      </c>
      <c r="M17" s="353"/>
    </row>
    <row r="18" spans="1:13" ht="15" customHeight="1">
      <c r="A18" s="298" t="s">
        <v>7</v>
      </c>
      <c r="B18" s="352">
        <v>18.77</v>
      </c>
      <c r="C18" s="352">
        <v>27.473000000000003</v>
      </c>
      <c r="D18" s="352">
        <v>28.907999999999998</v>
      </c>
      <c r="E18" s="352">
        <v>38.634</v>
      </c>
      <c r="F18" s="352">
        <v>11.07</v>
      </c>
      <c r="G18" s="274"/>
      <c r="H18" s="298" t="s">
        <v>222</v>
      </c>
      <c r="I18" s="352">
        <v>0.41200000000000003</v>
      </c>
      <c r="J18" s="352">
        <v>0.39500000000000002</v>
      </c>
      <c r="K18" s="352">
        <v>191.976</v>
      </c>
      <c r="L18" s="352">
        <v>182.76400000000001</v>
      </c>
    </row>
    <row r="19" spans="1:13" ht="15" customHeight="1">
      <c r="A19" s="298" t="s">
        <v>8</v>
      </c>
      <c r="B19" s="352">
        <v>32.533000000000001</v>
      </c>
      <c r="C19" s="352">
        <v>21.258000000000003</v>
      </c>
      <c r="D19" s="352">
        <v>6.3959999999999999</v>
      </c>
      <c r="E19" s="352">
        <v>7.1230000000000002</v>
      </c>
      <c r="F19" s="352">
        <v>1.4609999999999999</v>
      </c>
      <c r="G19" s="274"/>
      <c r="H19" s="298" t="s">
        <v>223</v>
      </c>
      <c r="I19" s="352">
        <v>0</v>
      </c>
      <c r="J19" s="352">
        <v>0</v>
      </c>
      <c r="K19" s="352">
        <v>0</v>
      </c>
      <c r="L19" s="352">
        <v>0</v>
      </c>
    </row>
    <row r="20" spans="1:13" ht="15" customHeight="1">
      <c r="A20" s="298" t="s">
        <v>9</v>
      </c>
      <c r="B20" s="352">
        <v>0</v>
      </c>
      <c r="C20" s="352">
        <v>0</v>
      </c>
      <c r="D20" s="352">
        <v>0</v>
      </c>
      <c r="E20" s="352">
        <v>0</v>
      </c>
      <c r="F20" s="352">
        <v>0</v>
      </c>
      <c r="G20" s="274"/>
      <c r="H20" s="298" t="s">
        <v>224</v>
      </c>
      <c r="I20" s="352">
        <v>0</v>
      </c>
      <c r="J20" s="352">
        <v>0</v>
      </c>
      <c r="K20" s="352">
        <v>0</v>
      </c>
      <c r="L20" s="352">
        <v>0</v>
      </c>
    </row>
    <row r="21" spans="1:13" ht="15" customHeight="1">
      <c r="A21" s="298" t="s">
        <v>160</v>
      </c>
      <c r="B21" s="352">
        <v>-11.045</v>
      </c>
      <c r="C21" s="352">
        <v>-1.1060000000000001</v>
      </c>
      <c r="D21" s="352">
        <v>-0.20600000000000002</v>
      </c>
      <c r="E21" s="352">
        <v>0</v>
      </c>
      <c r="F21" s="352">
        <v>0</v>
      </c>
      <c r="G21" s="274"/>
      <c r="H21" s="324" t="s">
        <v>225</v>
      </c>
      <c r="I21" s="352">
        <v>0</v>
      </c>
      <c r="J21" s="352">
        <v>0</v>
      </c>
      <c r="K21" s="352">
        <v>0</v>
      </c>
      <c r="L21" s="352">
        <v>0</v>
      </c>
    </row>
    <row r="22" spans="1:13" ht="15" customHeight="1">
      <c r="A22" s="299" t="s">
        <v>10</v>
      </c>
      <c r="B22" s="286">
        <f t="shared" ref="B22:C22" si="6">(B13+B17-B18-B19-B20+B21)</f>
        <v>-177.33599999999976</v>
      </c>
      <c r="C22" s="286">
        <f>(C13+C17-C18-C19-C20+C21)</f>
        <v>-121.19300000000001</v>
      </c>
      <c r="D22" s="286">
        <f>(D13+D17-D18-D19-D20+D21)</f>
        <v>19.218999999999959</v>
      </c>
      <c r="E22" s="286">
        <f>(E13+E17-E18-E19-E20)</f>
        <v>109.07200000000006</v>
      </c>
      <c r="F22" s="286">
        <f>(F13+F17-F18-F19-F20)</f>
        <v>15.643999999999957</v>
      </c>
      <c r="G22" s="274"/>
      <c r="H22" s="324" t="s">
        <v>42</v>
      </c>
      <c r="I22" s="352">
        <v>15.294</v>
      </c>
      <c r="J22" s="352">
        <v>10.254000000000001</v>
      </c>
      <c r="K22" s="352">
        <v>9.1129999999999995</v>
      </c>
      <c r="L22" s="352">
        <v>11.276999999999999</v>
      </c>
    </row>
    <row r="23" spans="1:13" ht="15" customHeight="1">
      <c r="A23" s="298" t="s">
        <v>11</v>
      </c>
      <c r="B23" s="269">
        <v>-1.5619999999999998</v>
      </c>
      <c r="C23" s="269">
        <v>-3.028</v>
      </c>
      <c r="D23" s="269">
        <v>-12.199</v>
      </c>
      <c r="E23" s="269">
        <v>3.782</v>
      </c>
      <c r="F23" s="269">
        <v>-0.32799999999999996</v>
      </c>
      <c r="G23" s="274"/>
      <c r="H23" s="324" t="s">
        <v>226</v>
      </c>
      <c r="I23" s="352">
        <v>7.1480000000000006</v>
      </c>
      <c r="J23" s="352">
        <v>6.4629999999999992</v>
      </c>
      <c r="K23" s="352">
        <v>1.518</v>
      </c>
      <c r="L23" s="352">
        <v>5.7700000000000005</v>
      </c>
    </row>
    <row r="24" spans="1:13" ht="15" customHeight="1">
      <c r="A24" s="296" t="s">
        <v>12</v>
      </c>
      <c r="B24" s="283">
        <f>(B23/B22)</f>
        <v>8.8081382234853726E-3</v>
      </c>
      <c r="C24" s="283">
        <f>(C23/C22)</f>
        <v>2.4984941374501825E-2</v>
      </c>
      <c r="D24" s="280" t="s">
        <v>208</v>
      </c>
      <c r="E24" s="283">
        <f>(E23/E22)</f>
        <v>3.4674343552882479E-2</v>
      </c>
      <c r="F24" s="283">
        <f>(F23/F22)</f>
        <v>-2.0966504730248074E-2</v>
      </c>
      <c r="G24" s="274"/>
      <c r="H24" s="298" t="s">
        <v>227</v>
      </c>
      <c r="I24" s="352">
        <v>2.1739999999999999</v>
      </c>
      <c r="J24" s="352">
        <v>4.76</v>
      </c>
      <c r="K24" s="352">
        <v>17.172000000000001</v>
      </c>
      <c r="L24" s="352">
        <v>12.751000000000001</v>
      </c>
    </row>
    <row r="25" spans="1:13" ht="15" customHeight="1">
      <c r="A25" s="300" t="s">
        <v>13</v>
      </c>
      <c r="B25" s="286">
        <f t="shared" ref="B25" si="7">(B22-B23)</f>
        <v>-175.77399999999975</v>
      </c>
      <c r="C25" s="286">
        <f>(C22-C23)</f>
        <v>-118.16500000000001</v>
      </c>
      <c r="D25" s="286">
        <f>(D22-D23)</f>
        <v>31.417999999999957</v>
      </c>
      <c r="E25" s="286">
        <f>(E22-E23)</f>
        <v>105.29000000000006</v>
      </c>
      <c r="F25" s="286">
        <f>(F22-F23)</f>
        <v>15.971999999999957</v>
      </c>
      <c r="G25" s="274"/>
      <c r="H25" s="298" t="s">
        <v>93</v>
      </c>
      <c r="I25" s="352">
        <v>0.05</v>
      </c>
      <c r="J25" s="352">
        <v>2.5000000000000001E-2</v>
      </c>
      <c r="K25" s="352">
        <v>9.4E-2</v>
      </c>
      <c r="L25" s="352">
        <v>0</v>
      </c>
    </row>
    <row r="26" spans="1:13" ht="15" customHeight="1">
      <c r="A26" s="300" t="s">
        <v>80</v>
      </c>
      <c r="B26" s="289">
        <f>B25/(B4)</f>
        <v>-0.1710148283420683</v>
      </c>
      <c r="C26" s="289">
        <f>C25/(C4)</f>
        <v>-0.1745199280445911</v>
      </c>
      <c r="D26" s="289">
        <f>D25/(D4)</f>
        <v>3.2906423340539226E-2</v>
      </c>
      <c r="E26" s="289">
        <f>E25/(E4)</f>
        <v>8.6796310188200221E-2</v>
      </c>
      <c r="F26" s="289">
        <f>F25/(F4)</f>
        <v>9.1920418510695615E-2</v>
      </c>
      <c r="G26" s="274"/>
      <c r="H26" s="298"/>
      <c r="I26" s="317"/>
      <c r="J26" s="317"/>
      <c r="K26" s="317"/>
      <c r="L26" s="317"/>
    </row>
    <row r="27" spans="1:13" ht="15" customHeight="1">
      <c r="A27" s="297" t="s">
        <v>108</v>
      </c>
      <c r="B27" s="283" t="s">
        <v>208</v>
      </c>
      <c r="C27" s="283" t="s">
        <v>208</v>
      </c>
      <c r="D27" s="283" t="s">
        <v>208</v>
      </c>
      <c r="E27" s="283"/>
      <c r="F27" s="283"/>
      <c r="G27" s="274"/>
      <c r="H27" s="299" t="s">
        <v>44</v>
      </c>
      <c r="I27" s="311">
        <f>I28+I29+I34+I35+I30+I31+I32+I33</f>
        <v>453.64299999999997</v>
      </c>
      <c r="J27" s="311">
        <f>J28+J29+J34+J35+J30+J31+J32+J33</f>
        <v>331.50800000000004</v>
      </c>
      <c r="K27" s="311">
        <f t="shared" ref="K27:L27" si="8">K28+K29+K34+K35+K30+K31+K32+K33</f>
        <v>599.40000000000009</v>
      </c>
      <c r="L27" s="311">
        <f t="shared" si="8"/>
        <v>860.40400000000011</v>
      </c>
    </row>
    <row r="28" spans="1:13" ht="15" customHeight="1">
      <c r="A28" s="298" t="s">
        <v>14</v>
      </c>
      <c r="B28" s="288"/>
      <c r="C28" s="288"/>
      <c r="D28" s="288"/>
      <c r="E28" s="308"/>
      <c r="F28" s="288"/>
      <c r="G28" s="274"/>
      <c r="H28" s="298" t="s">
        <v>45</v>
      </c>
      <c r="I28" s="352">
        <v>110.43900000000001</v>
      </c>
      <c r="J28" s="352">
        <v>89.719000000000008</v>
      </c>
      <c r="K28" s="352">
        <v>81.67</v>
      </c>
      <c r="L28" s="352">
        <v>65.713999999999999</v>
      </c>
    </row>
    <row r="29" spans="1:13" ht="15" customHeight="1">
      <c r="A29" s="298" t="s">
        <v>69</v>
      </c>
      <c r="B29" s="269">
        <v>0.13600000000000001</v>
      </c>
      <c r="C29" s="269">
        <v>1.3130000000000002</v>
      </c>
      <c r="D29" s="269">
        <v>-0.63200000000000001</v>
      </c>
      <c r="E29" s="269">
        <v>-0.317</v>
      </c>
      <c r="F29" s="269">
        <v>-7.9000000000000001E-2</v>
      </c>
      <c r="G29" s="274"/>
      <c r="H29" s="298" t="s">
        <v>92</v>
      </c>
      <c r="I29" s="352">
        <v>0</v>
      </c>
      <c r="J29" s="352">
        <v>0</v>
      </c>
      <c r="K29" s="352">
        <v>0</v>
      </c>
      <c r="L29" s="352">
        <v>0</v>
      </c>
    </row>
    <row r="30" spans="1:13" ht="15" customHeight="1">
      <c r="A30" s="299" t="s">
        <v>15</v>
      </c>
      <c r="B30" s="286">
        <f>B25+B29</f>
        <v>-175.63799999999975</v>
      </c>
      <c r="C30" s="286">
        <f>C25+C29</f>
        <v>-116.852</v>
      </c>
      <c r="D30" s="286">
        <f>D25+D29+D28</f>
        <v>30.785999999999955</v>
      </c>
      <c r="E30" s="286">
        <f>E25+E29</f>
        <v>104.97300000000007</v>
      </c>
      <c r="F30" s="286">
        <f>F25+F29</f>
        <v>15.892999999999956</v>
      </c>
      <c r="G30" s="274"/>
      <c r="H30" s="298" t="s">
        <v>228</v>
      </c>
      <c r="I30" s="352">
        <v>0.13</v>
      </c>
      <c r="J30" s="352">
        <v>0.23300000000000001</v>
      </c>
      <c r="K30" s="352">
        <v>0.22400000000000003</v>
      </c>
      <c r="L30" s="352">
        <v>0.17699999999999999</v>
      </c>
    </row>
    <row r="31" spans="1:13" ht="15" customHeight="1">
      <c r="A31" s="296" t="s">
        <v>2</v>
      </c>
      <c r="B31" s="290" t="s">
        <v>208</v>
      </c>
      <c r="C31" s="290">
        <f>(C30/B30-1)</f>
        <v>-0.33469978022978986</v>
      </c>
      <c r="D31" s="290">
        <f>(D30/C30-1)</f>
        <v>-1.263461472632047</v>
      </c>
      <c r="E31" s="290">
        <f>(E30/D30-1)</f>
        <v>2.4097641785227122</v>
      </c>
      <c r="F31" s="290"/>
      <c r="G31" s="274"/>
      <c r="H31" s="279" t="s">
        <v>161</v>
      </c>
      <c r="I31" s="352">
        <v>257.21999999999997</v>
      </c>
      <c r="J31" s="352">
        <v>199.935</v>
      </c>
      <c r="K31" s="352">
        <v>409.96000000000004</v>
      </c>
      <c r="L31" s="352">
        <v>586.31299999999999</v>
      </c>
    </row>
    <row r="32" spans="1:13" ht="15" customHeight="1">
      <c r="A32" s="297" t="s">
        <v>108</v>
      </c>
      <c r="B32" s="283" t="s">
        <v>208</v>
      </c>
      <c r="C32" s="283" t="s">
        <v>208</v>
      </c>
      <c r="D32" s="283" t="s">
        <v>208</v>
      </c>
      <c r="E32" s="283">
        <f>+((E30/B30)^(1/3)-1)</f>
        <v>-1.8423379651457932</v>
      </c>
      <c r="F32" s="283"/>
      <c r="G32" s="274"/>
      <c r="H32" s="279" t="s">
        <v>157</v>
      </c>
      <c r="I32" s="352">
        <v>2.056</v>
      </c>
      <c r="J32" s="352">
        <v>1.8260000000000001</v>
      </c>
      <c r="K32" s="352">
        <v>10.393000000000001</v>
      </c>
      <c r="L32" s="352">
        <f>(1509.88+1.83)/10</f>
        <v>151.17099999999999</v>
      </c>
    </row>
    <row r="33" spans="1:17" ht="15" customHeight="1">
      <c r="A33" s="295" t="s">
        <v>16</v>
      </c>
      <c r="B33" s="291">
        <v>-6.66</v>
      </c>
      <c r="C33" s="291">
        <v>-4.43</v>
      </c>
      <c r="D33" s="291">
        <v>1.1100000000000001</v>
      </c>
      <c r="E33" s="291">
        <v>2</v>
      </c>
      <c r="F33" s="291">
        <v>0.3</v>
      </c>
      <c r="G33" s="274"/>
      <c r="H33" s="279" t="s">
        <v>229</v>
      </c>
      <c r="I33" s="352">
        <v>0.121</v>
      </c>
      <c r="J33" s="352">
        <v>0.14499999999999999</v>
      </c>
      <c r="K33" s="352">
        <v>0.248</v>
      </c>
      <c r="L33" s="352">
        <v>0.33100000000000002</v>
      </c>
      <c r="P33" s="269" t="s">
        <v>214</v>
      </c>
    </row>
    <row r="34" spans="1:17" ht="15" customHeight="1">
      <c r="A34" s="301" t="s">
        <v>2</v>
      </c>
      <c r="B34" s="280" t="s">
        <v>208</v>
      </c>
      <c r="C34" s="280" t="s">
        <v>208</v>
      </c>
      <c r="D34" s="280" t="s">
        <v>208</v>
      </c>
      <c r="E34" s="280">
        <f>(E33/D33-1)</f>
        <v>0.80180180180180161</v>
      </c>
      <c r="F34" s="280"/>
      <c r="G34" s="274"/>
      <c r="H34" s="279" t="s">
        <v>230</v>
      </c>
      <c r="I34" s="352">
        <v>17.818999999999999</v>
      </c>
      <c r="J34" s="352">
        <v>15.356</v>
      </c>
      <c r="K34" s="352">
        <v>16.341999999999999</v>
      </c>
      <c r="L34" s="352">
        <v>7.548</v>
      </c>
    </row>
    <row r="35" spans="1:17" ht="15" customHeight="1">
      <c r="A35" s="298" t="s">
        <v>108</v>
      </c>
      <c r="B35" s="283" t="s">
        <v>208</v>
      </c>
      <c r="C35" s="283" t="s">
        <v>208</v>
      </c>
      <c r="D35" s="283" t="s">
        <v>208</v>
      </c>
      <c r="E35" s="283">
        <f>+((E33/B33)^(1/3)-1)</f>
        <v>-1.6696562432775424</v>
      </c>
      <c r="F35" s="283"/>
      <c r="G35" s="272"/>
      <c r="H35" s="298" t="s">
        <v>97</v>
      </c>
      <c r="I35" s="352">
        <v>65.858000000000004</v>
      </c>
      <c r="J35" s="352">
        <v>24.294</v>
      </c>
      <c r="K35" s="352">
        <v>80.563000000000002</v>
      </c>
      <c r="L35" s="352">
        <v>49.15</v>
      </c>
    </row>
    <row r="36" spans="1:17" ht="15" customHeight="1">
      <c r="A36" s="298"/>
      <c r="B36" s="308"/>
      <c r="C36" s="308"/>
      <c r="D36" s="308"/>
      <c r="E36" s="308"/>
      <c r="F36" s="308"/>
      <c r="G36" s="272"/>
      <c r="I36" s="354"/>
      <c r="J36" s="354"/>
      <c r="K36" s="354"/>
      <c r="L36" s="325"/>
    </row>
    <row r="37" spans="1:17" ht="15" customHeight="1">
      <c r="A37" s="298"/>
      <c r="B37" s="308"/>
      <c r="C37" s="308"/>
      <c r="D37" s="308"/>
      <c r="E37" s="308"/>
      <c r="F37" s="308"/>
      <c r="G37" s="272"/>
      <c r="H37" s="298"/>
      <c r="I37" s="317"/>
      <c r="J37" s="317"/>
      <c r="K37" s="317"/>
      <c r="L37" s="317"/>
    </row>
    <row r="38" spans="1:17" ht="15" customHeight="1">
      <c r="F38" s="306"/>
      <c r="G38" s="272"/>
      <c r="H38" s="299" t="s">
        <v>46</v>
      </c>
      <c r="I38" s="311">
        <f>I39+I42+I43+I40+I41</f>
        <v>611.55100000000004</v>
      </c>
      <c r="J38" s="311">
        <f t="shared" ref="J38:L38" si="9">J39+J42+J43+J40+J41</f>
        <v>571.14300000000003</v>
      </c>
      <c r="K38" s="311">
        <f t="shared" si="9"/>
        <v>539.08300000000008</v>
      </c>
      <c r="L38" s="311">
        <f t="shared" si="9"/>
        <v>343.21</v>
      </c>
    </row>
    <row r="39" spans="1:17" ht="15" customHeight="1">
      <c r="F39" s="306"/>
      <c r="G39" s="274"/>
      <c r="H39" s="298" t="s">
        <v>233</v>
      </c>
      <c r="I39" s="317"/>
      <c r="J39" s="317"/>
      <c r="K39" s="317"/>
      <c r="L39" s="317"/>
    </row>
    <row r="40" spans="1:17" ht="15" customHeight="1">
      <c r="F40" s="306"/>
      <c r="G40" s="274"/>
      <c r="H40" s="324" t="s">
        <v>82</v>
      </c>
      <c r="I40" s="269">
        <f>(675.46+2916.55)/10</f>
        <v>359.20100000000002</v>
      </c>
      <c r="J40" s="352">
        <f>(678.75+1586.01)/10</f>
        <v>226.47600000000003</v>
      </c>
      <c r="K40" s="352">
        <f>(14.01+2685.03)/10</f>
        <v>269.90400000000005</v>
      </c>
      <c r="L40" s="352">
        <f>(160.35+2578.91)/10</f>
        <v>273.92599999999999</v>
      </c>
    </row>
    <row r="41" spans="1:17" ht="15" customHeight="1">
      <c r="F41" s="306"/>
      <c r="G41" s="274"/>
      <c r="H41" s="324" t="s">
        <v>83</v>
      </c>
      <c r="I41" s="352">
        <v>27.123000000000001</v>
      </c>
      <c r="J41" s="352">
        <v>21.187999999999999</v>
      </c>
      <c r="K41" s="352">
        <v>11.418000000000001</v>
      </c>
      <c r="L41" s="352">
        <v>10.887</v>
      </c>
    </row>
    <row r="42" spans="1:17" ht="15" customHeight="1">
      <c r="F42" s="306"/>
      <c r="G42" s="274"/>
      <c r="H42" s="298" t="s">
        <v>234</v>
      </c>
      <c r="I42" s="352">
        <v>2.028</v>
      </c>
      <c r="J42" s="352">
        <v>1.9530000000000001</v>
      </c>
      <c r="K42" s="352">
        <v>1.327</v>
      </c>
      <c r="L42" s="352">
        <v>2.5430000000000001</v>
      </c>
      <c r="M42" s="277"/>
    </row>
    <row r="43" spans="1:17" ht="15" customHeight="1">
      <c r="F43" s="306"/>
      <c r="G43" s="274"/>
      <c r="H43" s="298" t="s">
        <v>159</v>
      </c>
      <c r="I43" s="352">
        <v>223.19899999999998</v>
      </c>
      <c r="J43" s="352">
        <v>321.52600000000001</v>
      </c>
      <c r="K43" s="352">
        <v>256.43400000000003</v>
      </c>
      <c r="L43" s="352">
        <v>55.853999999999999</v>
      </c>
    </row>
    <row r="44" spans="1:17" ht="15" customHeight="1">
      <c r="F44" s="306"/>
      <c r="G44" s="274"/>
      <c r="H44" s="298"/>
      <c r="I44" s="317"/>
      <c r="J44" s="317"/>
      <c r="K44" s="317"/>
      <c r="L44" s="317"/>
    </row>
    <row r="45" spans="1:17" ht="15" customHeight="1" thickBot="1">
      <c r="F45" s="306"/>
      <c r="G45" s="274"/>
      <c r="H45" s="298"/>
      <c r="I45" s="315"/>
      <c r="J45" s="315"/>
      <c r="K45" s="315"/>
      <c r="L45" s="315"/>
      <c r="N45" s="284"/>
      <c r="P45" s="285"/>
      <c r="Q45" s="285"/>
    </row>
    <row r="46" spans="1:17" ht="15" customHeight="1">
      <c r="A46" s="358" t="s">
        <v>103</v>
      </c>
      <c r="B46" s="359"/>
      <c r="C46" s="360"/>
      <c r="D46" s="360"/>
      <c r="E46" s="361"/>
      <c r="G46" s="274"/>
      <c r="H46" s="299" t="s">
        <v>47</v>
      </c>
      <c r="I46" s="311">
        <f t="shared" ref="I46" si="10">(I27-I38-I10)</f>
        <v>-168.33800000000008</v>
      </c>
      <c r="J46" s="311">
        <f>(J27-J38-J10)</f>
        <v>-278.13900000000001</v>
      </c>
      <c r="K46" s="311">
        <f>(K27-K38-K10)</f>
        <v>2.8150000000000119</v>
      </c>
      <c r="L46" s="311">
        <f t="shared" ref="L46" si="11">(L27-L38-L10)</f>
        <v>471.71400000000017</v>
      </c>
    </row>
    <row r="47" spans="1:17" ht="15" customHeight="1">
      <c r="A47" s="362" t="s">
        <v>0</v>
      </c>
      <c r="B47" s="278" t="s">
        <v>209</v>
      </c>
      <c r="C47" s="278" t="s">
        <v>210</v>
      </c>
      <c r="D47" s="278" t="s">
        <v>212</v>
      </c>
      <c r="E47" s="363" t="s">
        <v>213</v>
      </c>
      <c r="F47" s="306"/>
      <c r="G47" s="274"/>
      <c r="H47" s="299" t="s">
        <v>215</v>
      </c>
      <c r="I47" s="311">
        <f>SUM(I48:I51)</f>
        <v>91.6</v>
      </c>
      <c r="J47" s="311">
        <f>SUM(J48:J51)</f>
        <v>56.981999999999999</v>
      </c>
      <c r="K47" s="311">
        <f>SUM(K48:K51)</f>
        <v>42.561</v>
      </c>
      <c r="L47" s="311">
        <f t="shared" ref="L47" si="12">SUM(L48:L51)</f>
        <v>22.335000000000001</v>
      </c>
    </row>
    <row r="48" spans="1:17" ht="15" customHeight="1">
      <c r="A48" s="364" t="s">
        <v>17</v>
      </c>
      <c r="B48" s="352">
        <v>5.3119999999999994</v>
      </c>
      <c r="C48" s="293">
        <f>B53</f>
        <v>2.0560000000000134</v>
      </c>
      <c r="D48" s="293">
        <f>C53</f>
        <v>1.8350000000000135</v>
      </c>
      <c r="E48" s="355">
        <f>D53</f>
        <v>10.402000000000021</v>
      </c>
      <c r="F48" s="306"/>
      <c r="G48" s="274"/>
      <c r="H48" s="298" t="s">
        <v>234</v>
      </c>
      <c r="I48" s="352">
        <v>6.375</v>
      </c>
      <c r="J48" s="352">
        <v>5.0170000000000003</v>
      </c>
      <c r="K48" s="352">
        <v>6.5</v>
      </c>
      <c r="L48" s="352">
        <v>6.3950000000000005</v>
      </c>
    </row>
    <row r="49" spans="1:17" ht="15" customHeight="1">
      <c r="A49" s="365" t="s">
        <v>18</v>
      </c>
      <c r="B49" s="352">
        <v>-31.898000000000003</v>
      </c>
      <c r="C49" s="352">
        <v>10.348000000000001</v>
      </c>
      <c r="D49" s="352">
        <v>-236.22199999999998</v>
      </c>
      <c r="E49" s="356">
        <v>-153.61700000000002</v>
      </c>
      <c r="F49" s="306"/>
      <c r="G49" s="274"/>
      <c r="H49" s="298" t="s">
        <v>235</v>
      </c>
      <c r="I49" s="352">
        <v>0</v>
      </c>
      <c r="J49" s="352">
        <v>0</v>
      </c>
      <c r="K49" s="352">
        <v>0</v>
      </c>
      <c r="L49" s="352">
        <v>0</v>
      </c>
    </row>
    <row r="50" spans="1:17" ht="15" customHeight="1">
      <c r="A50" s="365" t="s">
        <v>79</v>
      </c>
      <c r="B50" s="352">
        <v>129.94900000000001</v>
      </c>
      <c r="C50" s="352">
        <v>5.5579999999999998</v>
      </c>
      <c r="D50" s="352">
        <v>-202.899</v>
      </c>
      <c r="E50" s="356">
        <v>-52.777999999999999</v>
      </c>
      <c r="F50" s="306"/>
      <c r="G50" s="274"/>
      <c r="H50" s="298" t="s">
        <v>162</v>
      </c>
      <c r="I50" s="352">
        <v>85.224999999999994</v>
      </c>
      <c r="J50" s="352">
        <v>51.964999999999996</v>
      </c>
      <c r="K50" s="352">
        <v>36.061</v>
      </c>
      <c r="L50" s="352">
        <v>15.940000000000001</v>
      </c>
    </row>
    <row r="51" spans="1:17" ht="15" customHeight="1">
      <c r="A51" s="365" t="s">
        <v>19</v>
      </c>
      <c r="B51" s="352">
        <v>-101.307</v>
      </c>
      <c r="C51" s="352">
        <v>-16.137</v>
      </c>
      <c r="D51" s="352">
        <v>447.68799999999999</v>
      </c>
      <c r="E51" s="356">
        <v>347.17099999999999</v>
      </c>
      <c r="F51" s="302"/>
      <c r="G51" s="274"/>
      <c r="H51" s="298"/>
      <c r="I51" s="317"/>
      <c r="J51" s="317"/>
      <c r="K51" s="317"/>
      <c r="L51" s="317"/>
      <c r="N51" s="276"/>
    </row>
    <row r="52" spans="1:17" ht="15" customHeight="1">
      <c r="A52" s="366" t="s">
        <v>20</v>
      </c>
      <c r="B52" s="304">
        <f>B49+B50+B51</f>
        <v>-3.255999999999986</v>
      </c>
      <c r="C52" s="304">
        <f>C49+C50+C51</f>
        <v>-0.23099999999999987</v>
      </c>
      <c r="D52" s="304">
        <f>D49+D50+D51</f>
        <v>8.5670000000000073</v>
      </c>
      <c r="E52" s="357">
        <f>E49+E50+E51+0.02</f>
        <v>140.79599999999999</v>
      </c>
      <c r="F52" s="302"/>
      <c r="G52" s="274"/>
      <c r="H52" s="298"/>
      <c r="I52" s="317"/>
      <c r="J52" s="317"/>
      <c r="K52" s="317"/>
      <c r="L52" s="317"/>
    </row>
    <row r="53" spans="1:17" ht="15" customHeight="1" thickBot="1">
      <c r="A53" s="367" t="s">
        <v>72</v>
      </c>
      <c r="B53" s="368">
        <f t="shared" ref="B53" si="13">B48+B52</f>
        <v>2.0560000000000134</v>
      </c>
      <c r="C53" s="368">
        <f>C48+C52+0.01</f>
        <v>1.8350000000000135</v>
      </c>
      <c r="D53" s="368">
        <f>D48+D52</f>
        <v>10.402000000000021</v>
      </c>
      <c r="E53" s="369">
        <f>E48+E52</f>
        <v>151.19800000000001</v>
      </c>
      <c r="F53" s="302"/>
      <c r="G53" s="274"/>
      <c r="H53" s="299" t="s">
        <v>88</v>
      </c>
      <c r="I53" s="311">
        <f t="shared" ref="I53:L53" si="14">I15+I27</f>
        <v>618.10599999999999</v>
      </c>
      <c r="J53" s="311">
        <f>J15+J27</f>
        <v>465.39200000000005</v>
      </c>
      <c r="K53" s="311">
        <f t="shared" si="14"/>
        <v>919.68600000000015</v>
      </c>
      <c r="L53" s="311">
        <f t="shared" si="14"/>
        <v>1190.2740000000001</v>
      </c>
    </row>
    <row r="54" spans="1:17" ht="15" customHeight="1">
      <c r="B54" s="302"/>
      <c r="C54" s="302"/>
      <c r="D54" s="302"/>
      <c r="E54" s="302"/>
      <c r="F54" s="302"/>
      <c r="G54" s="274"/>
      <c r="H54" s="299" t="s">
        <v>211</v>
      </c>
      <c r="I54" s="311">
        <f t="shared" ref="I54" si="15">I7+I9+I10+I38+I47+I8</f>
        <v>618.10600000000011</v>
      </c>
      <c r="J54" s="311">
        <f>J7+J9+J10+J38+J47+J8</f>
        <v>465.39300000000003</v>
      </c>
      <c r="K54" s="311">
        <f>K7+K9+K10+K38+K47+K8</f>
        <v>919.68600000000026</v>
      </c>
      <c r="L54" s="311">
        <f t="shared" ref="L54" si="16">L7+L9+L10+L38+L47+L8</f>
        <v>1190.2740000000001</v>
      </c>
    </row>
    <row r="55" spans="1:17" ht="15" customHeight="1">
      <c r="B55" s="302"/>
      <c r="C55" s="302"/>
      <c r="D55" s="302"/>
      <c r="E55" s="302"/>
      <c r="F55" s="302"/>
      <c r="G55" s="274"/>
      <c r="H55" s="310"/>
      <c r="Q55"/>
    </row>
    <row r="56" spans="1:17" ht="16.2" thickBot="1">
      <c r="B56" s="302"/>
      <c r="C56" s="302"/>
      <c r="D56" s="302"/>
      <c r="E56" s="302"/>
      <c r="F56" s="302"/>
      <c r="G56" s="274"/>
      <c r="H56" s="310"/>
      <c r="M56" s="276"/>
      <c r="Q56" s="277"/>
    </row>
    <row r="57" spans="1:17" ht="15" customHeight="1">
      <c r="G57" s="378"/>
      <c r="H57" s="387" t="s">
        <v>49</v>
      </c>
      <c r="I57" s="388"/>
      <c r="J57" s="388"/>
      <c r="K57" s="388"/>
      <c r="L57" s="388"/>
      <c r="M57" s="389"/>
    </row>
    <row r="58" spans="1:17" ht="15" customHeight="1" thickBot="1">
      <c r="G58" s="274"/>
      <c r="H58" s="362" t="s">
        <v>50</v>
      </c>
      <c r="I58" s="278" t="s">
        <v>209</v>
      </c>
      <c r="J58" s="278" t="s">
        <v>210</v>
      </c>
      <c r="K58" s="320" t="s">
        <v>212</v>
      </c>
      <c r="L58" s="307" t="s">
        <v>213</v>
      </c>
      <c r="M58" s="363" t="s">
        <v>216</v>
      </c>
    </row>
    <row r="59" spans="1:17" ht="15.6">
      <c r="A59" s="370" t="s">
        <v>236</v>
      </c>
      <c r="B59" s="371" t="s">
        <v>209</v>
      </c>
      <c r="C59" s="371" t="s">
        <v>210</v>
      </c>
      <c r="D59" s="371" t="s">
        <v>212</v>
      </c>
      <c r="E59" s="371" t="s">
        <v>213</v>
      </c>
      <c r="F59" s="372" t="s">
        <v>216</v>
      </c>
      <c r="G59" s="274"/>
      <c r="H59" s="379" t="s">
        <v>51</v>
      </c>
      <c r="I59" s="292">
        <v>18.05</v>
      </c>
      <c r="J59" s="292">
        <v>15.7</v>
      </c>
      <c r="K59" s="292">
        <v>36.200000000000003</v>
      </c>
      <c r="L59" s="292">
        <v>78.95</v>
      </c>
      <c r="M59" s="380">
        <v>75.959999999999994</v>
      </c>
    </row>
    <row r="60" spans="1:17" ht="15.6">
      <c r="A60" s="365" t="s">
        <v>73</v>
      </c>
      <c r="B60" s="328">
        <v>26367291</v>
      </c>
      <c r="C60" s="328">
        <v>26367291</v>
      </c>
      <c r="D60" s="328">
        <v>39616291</v>
      </c>
      <c r="E60" s="328">
        <v>49607024</v>
      </c>
      <c r="F60" s="373">
        <v>49607024</v>
      </c>
      <c r="G60" s="274"/>
      <c r="H60" s="379" t="s">
        <v>52</v>
      </c>
      <c r="I60" s="304">
        <f>B33</f>
        <v>-6.66</v>
      </c>
      <c r="J60" s="304">
        <f>C33</f>
        <v>-4.43</v>
      </c>
      <c r="K60" s="304">
        <f>D33</f>
        <v>1.1100000000000001</v>
      </c>
      <c r="L60" s="304">
        <f>E33</f>
        <v>2</v>
      </c>
      <c r="M60" s="357">
        <f>F33</f>
        <v>0.3</v>
      </c>
      <c r="N60" s="323">
        <f>F33+E33-0.48</f>
        <v>1.8199999999999998</v>
      </c>
      <c r="O60" s="269" t="s">
        <v>240</v>
      </c>
    </row>
    <row r="61" spans="1:17" ht="15" customHeight="1">
      <c r="A61" s="365" t="s">
        <v>237</v>
      </c>
      <c r="B61" s="330">
        <f>B60*Sheet!I59/10^6</f>
        <v>475.92960255000003</v>
      </c>
      <c r="C61" s="330">
        <f>C60*Sheet!J59/10^6</f>
        <v>413.96646870000001</v>
      </c>
      <c r="D61" s="330">
        <f>D60*Sheet!K59/10^6</f>
        <v>1434.1097342</v>
      </c>
      <c r="E61" s="330">
        <f>E60*Sheet!L59/10^6</f>
        <v>3916.4745448000003</v>
      </c>
      <c r="F61" s="374">
        <f>(F60/1000000)*M59</f>
        <v>3768.14954304</v>
      </c>
      <c r="G61" s="274"/>
      <c r="H61" s="381" t="s">
        <v>53</v>
      </c>
      <c r="I61" s="312">
        <f>(I7*1000000)/Sheet!B60</f>
        <v>-3.624376884223715</v>
      </c>
      <c r="J61" s="312">
        <f>(J7*1000000)/Sheet!C60</f>
        <v>-8.0624892409311215</v>
      </c>
      <c r="K61" s="312">
        <f>(K7*1000000)/Sheet!D60</f>
        <v>6.5612401726350411</v>
      </c>
      <c r="L61" s="312">
        <f>(L7*1000000)/Sheet!E60</f>
        <v>15.245139478635124</v>
      </c>
      <c r="M61" s="382" t="s">
        <v>208</v>
      </c>
    </row>
    <row r="62" spans="1:17" ht="15" customHeight="1">
      <c r="A62" s="365" t="s">
        <v>77</v>
      </c>
      <c r="B62" s="329">
        <f>I11</f>
        <v>14.78</v>
      </c>
      <c r="C62" s="329">
        <f t="shared" ref="C62:D62" si="17">J11</f>
        <v>53.161000000000001</v>
      </c>
      <c r="D62" s="329">
        <f t="shared" si="17"/>
        <v>78.207999999999998</v>
      </c>
      <c r="E62" s="329">
        <v>68.463000000000008</v>
      </c>
      <c r="F62" s="329">
        <v>68.463000000000008</v>
      </c>
      <c r="G62" s="274"/>
      <c r="H62" s="381" t="s">
        <v>54</v>
      </c>
      <c r="I62" s="312" t="s">
        <v>208</v>
      </c>
      <c r="J62" s="312" t="s">
        <v>208</v>
      </c>
      <c r="K62" s="312" t="s">
        <v>208</v>
      </c>
      <c r="L62" s="312" t="s">
        <v>208</v>
      </c>
      <c r="M62" s="382" t="s">
        <v>208</v>
      </c>
    </row>
    <row r="63" spans="1:17" ht="15" customHeight="1">
      <c r="A63" s="365" t="s">
        <v>75</v>
      </c>
      <c r="B63" s="329">
        <f>I32</f>
        <v>2.056</v>
      </c>
      <c r="C63" s="329">
        <f t="shared" ref="C63:D63" si="18">J32</f>
        <v>1.8260000000000001</v>
      </c>
      <c r="D63" s="329">
        <f t="shared" si="18"/>
        <v>10.393000000000001</v>
      </c>
      <c r="E63" s="329">
        <v>151.17099999999999</v>
      </c>
      <c r="F63" s="329">
        <v>151.17099999999999</v>
      </c>
      <c r="G63" s="274"/>
      <c r="H63" s="381" t="s">
        <v>55</v>
      </c>
      <c r="I63" s="313">
        <f>(I59/I60)</f>
        <v>-2.7102102102102101</v>
      </c>
      <c r="J63" s="313">
        <f>(J59/J60)</f>
        <v>-3.544018058690745</v>
      </c>
      <c r="K63" s="313">
        <f>(K59/K60)</f>
        <v>32.612612612612615</v>
      </c>
      <c r="L63" s="313">
        <f>(L59/L60)</f>
        <v>39.475000000000001</v>
      </c>
      <c r="M63" s="383">
        <f>M59/N60</f>
        <v>41.736263736263737</v>
      </c>
      <c r="P63" s="322"/>
    </row>
    <row r="64" spans="1:17" ht="15" customHeight="1">
      <c r="A64" s="365" t="s">
        <v>239</v>
      </c>
      <c r="B64" s="329">
        <f>I8</f>
        <v>-4.26</v>
      </c>
      <c r="C64" s="329">
        <f t="shared" ref="C64:D64" si="19">J8</f>
        <v>-3.3069999999999999</v>
      </c>
      <c r="D64" s="329">
        <f t="shared" si="19"/>
        <v>-9.8000000000000004E-2</v>
      </c>
      <c r="E64" s="329">
        <v>0</v>
      </c>
      <c r="F64" s="329">
        <v>0</v>
      </c>
      <c r="G64" s="274"/>
      <c r="H64" s="381" t="s">
        <v>56</v>
      </c>
      <c r="I64" s="313">
        <f>(I59/I61)</f>
        <v>-4.9801664055878199</v>
      </c>
      <c r="J64" s="313">
        <f>(J59/J61)</f>
        <v>-1.9472894202816742</v>
      </c>
      <c r="K64" s="313">
        <f>(K59/K61)</f>
        <v>5.5172496429835496</v>
      </c>
      <c r="L64" s="313">
        <f>(L59/L61)</f>
        <v>5.1786997495590175</v>
      </c>
      <c r="M64" s="382" t="s">
        <v>208</v>
      </c>
    </row>
    <row r="65" spans="1:13" ht="15" customHeight="1" thickBot="1">
      <c r="A65" s="375" t="s">
        <v>76</v>
      </c>
      <c r="B65" s="376">
        <f>B61+B62-B63+B64</f>
        <v>484.39360255000003</v>
      </c>
      <c r="C65" s="376">
        <f t="shared" ref="C65:E65" si="20">C61+C62-C63+C64</f>
        <v>461.99446869999997</v>
      </c>
      <c r="D65" s="376">
        <f t="shared" si="20"/>
        <v>1501.8267342000001</v>
      </c>
      <c r="E65" s="376">
        <f t="shared" si="20"/>
        <v>3833.7665448000007</v>
      </c>
      <c r="F65" s="377">
        <f>F61+F62-F63+F64</f>
        <v>3685.4415430400004</v>
      </c>
      <c r="G65" s="274"/>
      <c r="H65" s="381" t="s">
        <v>57</v>
      </c>
      <c r="I65" s="313">
        <f>Sheet!B65/B13</f>
        <v>-1.9191961875084211</v>
      </c>
      <c r="J65" s="313">
        <f>Sheet!C65/C13</f>
        <v>-3.8779397040307546</v>
      </c>
      <c r="K65" s="313">
        <f>Sheet!D65/D13</f>
        <v>41.089650730506214</v>
      </c>
      <c r="L65" s="313">
        <f>Sheet!E65/E13</f>
        <v>28.575864407689263</v>
      </c>
      <c r="M65" s="382" t="s">
        <v>208</v>
      </c>
    </row>
    <row r="66" spans="1:13" ht="15" customHeight="1">
      <c r="A66" s="305"/>
      <c r="B66" s="305"/>
      <c r="C66" s="305"/>
      <c r="D66" s="305"/>
      <c r="E66" s="305"/>
      <c r="F66" s="305"/>
      <c r="G66" s="274"/>
      <c r="H66" s="384" t="s">
        <v>58</v>
      </c>
      <c r="I66" s="280" t="s">
        <v>208</v>
      </c>
      <c r="J66" s="280">
        <f>C25/AVERAGE(I7,J7)</f>
        <v>0.76692920029466072</v>
      </c>
      <c r="K66" s="280">
        <f t="shared" ref="K66:L66" si="21">D25/AVERAGE(J7,K7)</f>
        <v>1.3271659696700864</v>
      </c>
      <c r="L66" s="280">
        <f t="shared" si="21"/>
        <v>0.20722339544065241</v>
      </c>
      <c r="M66" s="382" t="s">
        <v>208</v>
      </c>
    </row>
    <row r="67" spans="1:13" ht="15" customHeight="1">
      <c r="A67" s="305"/>
      <c r="B67" s="305"/>
      <c r="C67" s="305"/>
      <c r="D67" s="305"/>
      <c r="E67" s="305"/>
      <c r="F67" s="305"/>
      <c r="G67" s="274"/>
      <c r="H67" s="384" t="s">
        <v>59</v>
      </c>
      <c r="I67" s="280"/>
      <c r="J67" s="280"/>
      <c r="K67" s="280"/>
      <c r="L67" s="280"/>
      <c r="M67" s="382" t="s">
        <v>208</v>
      </c>
    </row>
    <row r="68" spans="1:13" ht="15" customHeight="1">
      <c r="A68" s="305"/>
      <c r="B68" s="305"/>
      <c r="C68" s="305"/>
      <c r="D68" s="305"/>
      <c r="E68" s="305"/>
      <c r="F68" s="305"/>
      <c r="G68" s="274"/>
      <c r="H68" s="381" t="s">
        <v>60</v>
      </c>
      <c r="I68" s="313">
        <f>(I11/I7)</f>
        <v>-0.15465913252759902</v>
      </c>
      <c r="J68" s="313">
        <f t="shared" ref="J68:L68" si="22">(J11/J7)</f>
        <v>-0.25006820769006427</v>
      </c>
      <c r="K68" s="313">
        <f t="shared" si="22"/>
        <v>0.30087869135004536</v>
      </c>
      <c r="L68" s="313">
        <f t="shared" si="22"/>
        <v>9.0527671480669508E-2</v>
      </c>
      <c r="M68" s="382" t="s">
        <v>208</v>
      </c>
    </row>
    <row r="69" spans="1:13" ht="15" customHeight="1">
      <c r="A69" s="305"/>
      <c r="B69" s="305"/>
      <c r="C69" s="305"/>
      <c r="D69" s="305"/>
      <c r="E69" s="305"/>
      <c r="F69" s="305"/>
      <c r="G69" s="274"/>
      <c r="H69" s="381" t="s">
        <v>61</v>
      </c>
      <c r="I69" s="314">
        <f>(I11-I32)/I7</f>
        <v>-0.13314497985664209</v>
      </c>
      <c r="J69" s="314">
        <f t="shared" ref="J69:L69" si="23">(J11-J32)/J7</f>
        <v>-0.24147874272059305</v>
      </c>
      <c r="K69" s="314">
        <f t="shared" si="23"/>
        <v>0.26089515719495865</v>
      </c>
      <c r="L69" s="314">
        <f t="shared" si="23"/>
        <v>-0.10936363660405198</v>
      </c>
      <c r="M69" s="382" t="s">
        <v>208</v>
      </c>
    </row>
    <row r="70" spans="1:13" ht="15" customHeight="1">
      <c r="A70" s="305"/>
      <c r="B70" s="305"/>
      <c r="C70" s="305"/>
      <c r="D70" s="305"/>
      <c r="E70" s="305"/>
      <c r="F70" s="305"/>
      <c r="G70" s="274"/>
      <c r="H70" s="381" t="s">
        <v>62</v>
      </c>
      <c r="I70" s="280" t="s">
        <v>208</v>
      </c>
      <c r="J70" s="280" t="s">
        <v>208</v>
      </c>
      <c r="K70" s="280" t="s">
        <v>208</v>
      </c>
      <c r="L70" s="280" t="s">
        <v>208</v>
      </c>
      <c r="M70" s="382" t="s">
        <v>208</v>
      </c>
    </row>
    <row r="71" spans="1:13" ht="15" customHeight="1">
      <c r="A71" s="305"/>
      <c r="B71" s="305"/>
      <c r="C71" s="305"/>
      <c r="D71" s="305"/>
      <c r="E71" s="305"/>
      <c r="F71" s="305"/>
      <c r="G71" s="274"/>
      <c r="H71" s="381" t="s">
        <v>63</v>
      </c>
      <c r="I71" s="280" t="s">
        <v>208</v>
      </c>
      <c r="J71" s="281">
        <f>(AVERAGE(I31:J31)/C4*365)</f>
        <v>123.22037008592704</v>
      </c>
      <c r="K71" s="281">
        <f>(AVERAGE(J31:K31)/D4*365)</f>
        <v>116.57893592998508</v>
      </c>
      <c r="L71" s="281">
        <f>(AVERAGE(K31:L31)/E4*365)</f>
        <v>149.88403183657991</v>
      </c>
      <c r="M71" s="382" t="s">
        <v>208</v>
      </c>
    </row>
    <row r="72" spans="1:13" ht="15" customHeight="1">
      <c r="A72" s="305"/>
      <c r="B72" s="305"/>
      <c r="C72" s="305"/>
      <c r="D72" s="305"/>
      <c r="E72" s="305"/>
      <c r="F72" s="305"/>
      <c r="G72" s="274"/>
      <c r="H72" s="381" t="s">
        <v>64</v>
      </c>
      <c r="I72" s="280" t="s">
        <v>208</v>
      </c>
      <c r="J72" s="281">
        <f>AVERAGE(J40:J40)/(C9)*365</f>
        <v>157.57510021940573</v>
      </c>
      <c r="K72" s="281">
        <f t="shared" ref="K72:L72" si="24">AVERAGE(K40:K40)/(D9)*365</f>
        <v>146.46407640546994</v>
      </c>
      <c r="L72" s="281">
        <f t="shared" si="24"/>
        <v>139.3885517435595</v>
      </c>
      <c r="M72" s="382" t="s">
        <v>208</v>
      </c>
    </row>
    <row r="73" spans="1:13" ht="15" customHeight="1">
      <c r="A73" s="305"/>
      <c r="B73" s="305"/>
      <c r="C73" s="305"/>
      <c r="D73" s="305"/>
      <c r="E73" s="305"/>
      <c r="F73" s="305"/>
      <c r="G73" s="274"/>
      <c r="H73" s="381" t="s">
        <v>65</v>
      </c>
      <c r="I73" s="280" t="s">
        <v>208</v>
      </c>
      <c r="J73" s="281">
        <f>AVERAGE(I28:J28)/(C9)*365</f>
        <v>69.631918856116783</v>
      </c>
      <c r="K73" s="281">
        <f t="shared" ref="K73:L73" si="25">AVERAGE(J28:K28)/(D9)*365</f>
        <v>46.50233340568699</v>
      </c>
      <c r="L73" s="281">
        <f t="shared" si="25"/>
        <v>37.498525715289482</v>
      </c>
      <c r="M73" s="382" t="s">
        <v>208</v>
      </c>
    </row>
    <row r="74" spans="1:13" ht="15" customHeight="1">
      <c r="A74" s="303"/>
      <c r="B74" s="305"/>
      <c r="C74" s="305"/>
      <c r="D74" s="305"/>
      <c r="E74" s="305"/>
      <c r="F74" s="305"/>
      <c r="G74" s="274"/>
      <c r="H74" s="381" t="s">
        <v>81</v>
      </c>
      <c r="I74" s="280" t="s">
        <v>208</v>
      </c>
      <c r="J74" s="281">
        <f>(J71-J72+J73)</f>
        <v>35.277188722638101</v>
      </c>
      <c r="K74" s="281">
        <f t="shared" ref="J74:L74" si="26">(K71-K72+K73)</f>
        <v>16.61719293020213</v>
      </c>
      <c r="L74" s="281">
        <f t="shared" si="26"/>
        <v>47.994005808309886</v>
      </c>
      <c r="M74" s="382" t="s">
        <v>208</v>
      </c>
    </row>
    <row r="75" spans="1:13" ht="15" customHeight="1">
      <c r="B75" s="305"/>
      <c r="C75" s="305"/>
      <c r="D75" s="305"/>
      <c r="E75" s="305"/>
      <c r="F75" s="305"/>
      <c r="G75" s="274"/>
      <c r="H75" s="385" t="s">
        <v>86</v>
      </c>
      <c r="I75" s="282">
        <f>B19/I11</f>
        <v>2.2011502029769963</v>
      </c>
      <c r="J75" s="282">
        <f t="shared" ref="J75:L75" si="27">C19/J11</f>
        <v>0.39987961099302122</v>
      </c>
      <c r="K75" s="282">
        <f t="shared" si="27"/>
        <v>8.1781914893617025E-2</v>
      </c>
      <c r="L75" s="282">
        <f t="shared" si="27"/>
        <v>0.10404159911192906</v>
      </c>
      <c r="M75" s="382" t="s">
        <v>208</v>
      </c>
    </row>
    <row r="76" spans="1:13" ht="15" customHeight="1" thickBot="1">
      <c r="B76" s="305"/>
      <c r="C76" s="305"/>
      <c r="D76" s="305"/>
      <c r="E76" s="305"/>
      <c r="F76" s="305"/>
      <c r="G76" s="274"/>
      <c r="H76" s="375" t="s">
        <v>98</v>
      </c>
      <c r="I76" s="386">
        <f>(B22+B19)/B19</f>
        <v>-4.4509574893185304</v>
      </c>
      <c r="J76" s="386">
        <f t="shared" ref="J76:L76" si="28">(C22+C19)/C19</f>
        <v>-4.7010537209521113</v>
      </c>
      <c r="K76" s="386">
        <f>(D22+D19)/D19</f>
        <v>4.0048467792370168</v>
      </c>
      <c r="L76" s="386">
        <f t="shared" si="28"/>
        <v>16.312649164677811</v>
      </c>
      <c r="M76" s="382" t="s">
        <v>208</v>
      </c>
    </row>
    <row r="77" spans="1:13" ht="15" customHeight="1">
      <c r="B77" s="305"/>
      <c r="C77" s="305"/>
      <c r="D77" s="305"/>
      <c r="E77" s="305"/>
      <c r="F77" s="305"/>
      <c r="G77" s="274"/>
    </row>
    <row r="78" spans="1:13" ht="15" customHeight="1">
      <c r="B78" s="305"/>
      <c r="C78" s="305"/>
      <c r="D78" s="305"/>
      <c r="E78" s="305"/>
      <c r="F78" s="305"/>
      <c r="G78" s="274"/>
    </row>
    <row r="79" spans="1:13" ht="15" customHeight="1">
      <c r="B79" s="305"/>
      <c r="C79" s="305"/>
      <c r="D79" s="305"/>
      <c r="E79" s="305"/>
      <c r="F79" s="305"/>
    </row>
    <row r="80" spans="1:13" ht="15" customHeight="1">
      <c r="B80" s="305"/>
      <c r="C80" s="305"/>
      <c r="D80" s="305"/>
      <c r="E80" s="305"/>
      <c r="F80" s="305"/>
    </row>
    <row r="81" spans="2:6" ht="15" customHeight="1">
      <c r="B81" s="305"/>
      <c r="C81" s="305"/>
      <c r="D81" s="305"/>
      <c r="E81" s="305"/>
      <c r="F81" s="305"/>
    </row>
    <row r="82" spans="2:6" ht="15" customHeight="1">
      <c r="B82" s="305"/>
      <c r="C82" s="305"/>
      <c r="D82" s="305"/>
      <c r="E82" s="305"/>
      <c r="F82" s="305"/>
    </row>
    <row r="83" spans="2:6" ht="15" customHeight="1">
      <c r="B83" s="305"/>
      <c r="C83" s="305"/>
      <c r="D83" s="305"/>
      <c r="E83" s="305"/>
      <c r="F83" s="305"/>
    </row>
    <row r="84" spans="2:6" ht="15" customHeight="1">
      <c r="B84" s="305"/>
      <c r="C84" s="305"/>
      <c r="D84" s="305"/>
      <c r="E84" s="305"/>
      <c r="F84" s="305"/>
    </row>
    <row r="85" spans="2:6" ht="15" customHeight="1">
      <c r="B85" s="305"/>
      <c r="C85" s="305"/>
      <c r="D85" s="305"/>
      <c r="E85" s="305"/>
      <c r="F85" s="305"/>
    </row>
    <row r="86" spans="2:6" ht="15" customHeight="1">
      <c r="B86" s="305"/>
      <c r="C86" s="305"/>
      <c r="D86" s="305"/>
      <c r="E86" s="305"/>
      <c r="F86" s="305"/>
    </row>
    <row r="87" spans="2:6" ht="15" customHeight="1">
      <c r="B87" s="305"/>
      <c r="C87" s="305"/>
      <c r="D87" s="305"/>
      <c r="E87" s="305"/>
      <c r="F87" s="305"/>
    </row>
    <row r="88" spans="2:6" ht="15" customHeight="1">
      <c r="B88" s="305"/>
      <c r="C88" s="305"/>
      <c r="D88" s="305"/>
      <c r="E88" s="305"/>
      <c r="F88" s="305"/>
    </row>
    <row r="89" spans="2:6" ht="15" customHeight="1">
      <c r="B89" s="305"/>
      <c r="C89" s="305"/>
      <c r="D89" s="305"/>
      <c r="E89" s="305"/>
      <c r="F89" s="305"/>
    </row>
    <row r="90" spans="2:6" ht="15" customHeight="1">
      <c r="B90" s="305"/>
      <c r="C90" s="305"/>
      <c r="D90" s="305"/>
      <c r="E90" s="305"/>
      <c r="F90" s="305"/>
    </row>
    <row r="91" spans="2:6" ht="15" customHeight="1">
      <c r="B91" s="305"/>
      <c r="C91" s="305"/>
      <c r="D91" s="305"/>
      <c r="E91" s="305"/>
      <c r="F91" s="305"/>
    </row>
    <row r="92" spans="2:6" ht="15" customHeight="1">
      <c r="B92" s="305"/>
      <c r="C92" s="305"/>
      <c r="D92" s="305"/>
      <c r="E92" s="305"/>
      <c r="F92" s="305"/>
    </row>
    <row r="93" spans="2:6" ht="15" customHeight="1">
      <c r="B93" s="305"/>
      <c r="C93" s="305"/>
      <c r="D93" s="305"/>
      <c r="E93" s="305"/>
      <c r="F93" s="305"/>
    </row>
    <row r="94" spans="2:6" ht="15" customHeight="1">
      <c r="B94" s="305"/>
      <c r="C94" s="305"/>
      <c r="D94" s="305"/>
      <c r="E94" s="305"/>
      <c r="F94" s="305"/>
    </row>
    <row r="95" spans="2:6" ht="15" customHeight="1">
      <c r="B95" s="305"/>
      <c r="C95" s="305"/>
      <c r="D95" s="305"/>
      <c r="E95" s="305"/>
      <c r="F95" s="305"/>
    </row>
    <row r="96" spans="2:6" ht="15" customHeight="1">
      <c r="B96" s="305"/>
      <c r="C96" s="305"/>
      <c r="D96" s="305"/>
      <c r="E96" s="305"/>
      <c r="F96" s="305"/>
    </row>
    <row r="97" spans="2:6" ht="15" customHeight="1">
      <c r="B97" s="305"/>
      <c r="C97" s="305"/>
      <c r="D97" s="305"/>
      <c r="E97" s="305"/>
      <c r="F97" s="305"/>
    </row>
    <row r="98" spans="2:6" ht="15" customHeight="1">
      <c r="B98" s="305"/>
      <c r="C98" s="305"/>
      <c r="D98" s="305"/>
      <c r="E98" s="305"/>
      <c r="F98" s="305"/>
    </row>
    <row r="99" spans="2:6" ht="15" customHeight="1">
      <c r="B99" s="305"/>
      <c r="C99" s="305"/>
      <c r="D99" s="305"/>
      <c r="E99" s="305"/>
      <c r="F99" s="305"/>
    </row>
    <row r="100" spans="2:6" ht="15" customHeight="1">
      <c r="B100" s="305"/>
      <c r="C100" s="305"/>
      <c r="D100" s="305"/>
      <c r="E100" s="305"/>
      <c r="F100" s="305"/>
    </row>
    <row r="101" spans="2:6" ht="15" customHeight="1">
      <c r="B101" s="305"/>
      <c r="C101" s="305"/>
      <c r="D101" s="305"/>
      <c r="E101" s="305"/>
      <c r="F101" s="305"/>
    </row>
    <row r="102" spans="2:6" ht="15" customHeight="1">
      <c r="B102" s="305"/>
      <c r="C102" s="305"/>
      <c r="D102" s="305"/>
      <c r="E102" s="305"/>
      <c r="F102" s="305"/>
    </row>
    <row r="103" spans="2:6" ht="15" customHeight="1">
      <c r="B103" s="305"/>
      <c r="C103" s="305"/>
      <c r="D103" s="305"/>
      <c r="E103" s="305"/>
      <c r="F103" s="305"/>
    </row>
  </sheetData>
  <mergeCells count="5">
    <mergeCell ref="A1:I1"/>
    <mergeCell ref="H2:I2"/>
    <mergeCell ref="A46:B46"/>
    <mergeCell ref="A2:D2"/>
    <mergeCell ref="H57:M57"/>
  </mergeCells>
  <phoneticPr fontId="21" type="noConversion"/>
  <printOptions horizontalCentered="1"/>
  <pageMargins left="0.23622047244094491" right="0.23622047244094491" top="0.23622047244094491" bottom="0.23622047244094491" header="0.31496062992125984" footer="0.31496062992125984"/>
  <pageSetup paperSize="9" scale="47" orientation="landscape" horizontalDpi="1200" verticalDpi="1200" r:id="rId1"/>
  <ignoredErrors>
    <ignoredError sqref="I26:L26 J71:M74 I11:L11" formulaRange="1"/>
    <ignoredError sqref="D30" formula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M50"/>
  <sheetViews>
    <sheetView workbookViewId="0">
      <selection activeCell="L5" sqref="L5"/>
    </sheetView>
  </sheetViews>
  <sheetFormatPr defaultColWidth="9.109375" defaultRowHeight="14.4"/>
  <cols>
    <col min="1" max="1" width="20.44140625" style="86" bestFit="1" customWidth="1"/>
    <col min="2" max="3" width="9.5546875" style="86" customWidth="1"/>
    <col min="4" max="4" width="13.109375" style="86" customWidth="1"/>
    <col min="5" max="5" width="12.5546875" style="86" bestFit="1" customWidth="1"/>
    <col min="6" max="6" width="11.5546875" style="86" bestFit="1" customWidth="1"/>
    <col min="7" max="7" width="5" style="86" customWidth="1"/>
    <col min="8" max="8" width="21.44140625" style="86" bestFit="1" customWidth="1"/>
    <col min="9" max="10" width="12.5546875" style="86" customWidth="1"/>
    <col min="11" max="12" width="14.33203125" style="86" customWidth="1"/>
    <col min="13" max="13" width="12.5546875" style="86" customWidth="1"/>
    <col min="14" max="16384" width="9.109375" style="86"/>
  </cols>
  <sheetData>
    <row r="1" spans="1:13">
      <c r="A1" s="346" t="s">
        <v>179</v>
      </c>
      <c r="B1" s="346"/>
      <c r="C1" s="346"/>
      <c r="D1" s="346"/>
      <c r="E1" s="346"/>
      <c r="F1" s="346"/>
      <c r="G1" s="346"/>
      <c r="H1" s="346"/>
      <c r="I1" s="346"/>
      <c r="J1" s="346"/>
      <c r="K1" s="346"/>
      <c r="L1" s="346"/>
      <c r="M1" s="346"/>
    </row>
    <row r="2" spans="1:13">
      <c r="A2" s="121" t="s">
        <v>164</v>
      </c>
    </row>
    <row r="3" spans="1:13" s="121" customFormat="1" ht="15" thickBot="1">
      <c r="B3" s="113" t="s">
        <v>163</v>
      </c>
      <c r="C3" s="113" t="s">
        <v>163</v>
      </c>
      <c r="D3" s="113" t="s">
        <v>163</v>
      </c>
      <c r="E3" s="113" t="s">
        <v>163</v>
      </c>
      <c r="F3" s="113"/>
      <c r="I3" s="113" t="s">
        <v>163</v>
      </c>
      <c r="J3" s="113" t="s">
        <v>163</v>
      </c>
      <c r="K3" s="113" t="s">
        <v>163</v>
      </c>
      <c r="L3" s="113" t="s">
        <v>163</v>
      </c>
      <c r="M3" s="113"/>
    </row>
    <row r="4" spans="1:13" ht="43.8" thickBot="1">
      <c r="A4" s="120" t="s">
        <v>125</v>
      </c>
      <c r="B4" s="111" t="s">
        <v>180</v>
      </c>
      <c r="C4" s="111" t="s">
        <v>181</v>
      </c>
      <c r="D4" s="111" t="s">
        <v>182</v>
      </c>
      <c r="E4" s="111" t="s">
        <v>183</v>
      </c>
      <c r="F4" s="110"/>
      <c r="H4" s="120" t="s">
        <v>124</v>
      </c>
      <c r="I4" s="111" t="s">
        <v>180</v>
      </c>
      <c r="J4" s="111" t="s">
        <v>181</v>
      </c>
      <c r="K4" s="111" t="s">
        <v>182</v>
      </c>
      <c r="L4" s="111" t="s">
        <v>193</v>
      </c>
      <c r="M4" s="110"/>
    </row>
    <row r="5" spans="1:13">
      <c r="A5" s="92" t="s">
        <v>190</v>
      </c>
      <c r="B5" s="204">
        <v>2180.5</v>
      </c>
      <c r="C5" s="141">
        <v>1089.6880000000001</v>
      </c>
      <c r="D5" s="102">
        <v>52007.26</v>
      </c>
      <c r="E5" s="102">
        <v>109914.82</v>
      </c>
      <c r="F5" s="101"/>
      <c r="H5" s="92" t="s">
        <v>123</v>
      </c>
      <c r="I5" s="102" t="e">
        <f>Sheet!#REF!</f>
        <v>#REF!</v>
      </c>
      <c r="J5" s="102">
        <v>345.47340100000002</v>
      </c>
      <c r="K5" s="102">
        <v>5720.8829999999998</v>
      </c>
      <c r="L5" s="102">
        <v>22759.4</v>
      </c>
      <c r="M5" s="101"/>
    </row>
    <row r="6" spans="1:13">
      <c r="A6" s="92" t="s">
        <v>194</v>
      </c>
      <c r="B6" s="205">
        <v>1734.84</v>
      </c>
      <c r="C6" s="102">
        <v>628.185204</v>
      </c>
      <c r="D6" s="102">
        <v>30412.940999999999</v>
      </c>
      <c r="E6" s="102">
        <v>43149.32</v>
      </c>
      <c r="F6" s="101"/>
      <c r="H6" s="92" t="s">
        <v>40</v>
      </c>
      <c r="I6" s="102" t="e">
        <f>Sheet!#REF!/10</f>
        <v>#REF!</v>
      </c>
      <c r="J6" s="102">
        <f>0.152126/10</f>
        <v>1.5212600000000001E-2</v>
      </c>
      <c r="K6" s="102"/>
      <c r="L6" s="102">
        <f>1149.67/10</f>
        <v>114.96700000000001</v>
      </c>
      <c r="M6" s="101"/>
    </row>
    <row r="7" spans="1:13">
      <c r="A7" s="109" t="s">
        <v>112</v>
      </c>
      <c r="B7" s="108">
        <f>((B5/B6)^(1/2)-1)</f>
        <v>0.12111027258526708</v>
      </c>
      <c r="C7" s="108">
        <f>((C5/C6)^(1/3)-1)</f>
        <v>0.20153978365140568</v>
      </c>
      <c r="D7" s="108">
        <f>((D5/D6)^(1/3)-1)</f>
        <v>0.19582744918882677</v>
      </c>
      <c r="E7" s="108">
        <f>((E5/E6)^(1/3)-1)</f>
        <v>0.3657171581480072</v>
      </c>
      <c r="F7" s="107"/>
      <c r="H7" s="92" t="s">
        <v>41</v>
      </c>
      <c r="I7" s="102" t="e">
        <f>Sheet!#REF!/10</f>
        <v>#REF!</v>
      </c>
      <c r="J7" s="102">
        <f>31.598326/10</f>
        <v>3.1598326000000001</v>
      </c>
      <c r="K7" s="102">
        <f>762.342/10</f>
        <v>76.234200000000001</v>
      </c>
      <c r="L7" s="102">
        <f>8826.6/10</f>
        <v>882.66000000000008</v>
      </c>
      <c r="M7" s="101"/>
    </row>
    <row r="8" spans="1:13">
      <c r="A8" s="92"/>
      <c r="B8" s="119"/>
      <c r="C8" s="106"/>
      <c r="D8" s="106"/>
      <c r="E8" s="106"/>
      <c r="F8" s="105"/>
      <c r="H8" s="109" t="s">
        <v>42</v>
      </c>
      <c r="I8" s="117" t="e">
        <f>I6+I7</f>
        <v>#REF!</v>
      </c>
      <c r="J8" s="117">
        <f>J6+J7</f>
        <v>3.1750452</v>
      </c>
      <c r="K8" s="117">
        <f>K6+K7</f>
        <v>76.234200000000001</v>
      </c>
      <c r="L8" s="117">
        <f>L6+L7</f>
        <v>997.62700000000007</v>
      </c>
      <c r="M8" s="116"/>
    </row>
    <row r="9" spans="1:13">
      <c r="A9" s="92" t="s">
        <v>122</v>
      </c>
      <c r="B9" s="102"/>
      <c r="C9" s="102"/>
      <c r="D9" s="102"/>
      <c r="E9" s="102"/>
      <c r="F9" s="101"/>
      <c r="H9" s="109" t="s">
        <v>43</v>
      </c>
      <c r="I9" s="117" t="e">
        <f>(I10+I11-I17-I7)</f>
        <v>#REF!</v>
      </c>
      <c r="J9" s="117">
        <f>(J10+J11-J17-J7)</f>
        <v>34.717264899999996</v>
      </c>
      <c r="K9" s="117">
        <f>(K10+K11-K17-K7)</f>
        <v>681.27240000000018</v>
      </c>
      <c r="L9" s="117">
        <f>(L10+L11-L17-L7)</f>
        <v>3034.0990000000011</v>
      </c>
      <c r="M9" s="116"/>
    </row>
    <row r="10" spans="1:13">
      <c r="A10" s="92" t="s">
        <v>121</v>
      </c>
      <c r="B10" s="102"/>
      <c r="C10" s="102"/>
      <c r="D10" s="102"/>
      <c r="E10" s="102"/>
      <c r="F10" s="101"/>
      <c r="H10" s="92" t="s">
        <v>120</v>
      </c>
      <c r="I10" s="102" t="e">
        <f>Sheet!#REF!/10</f>
        <v>#REF!</v>
      </c>
      <c r="J10" s="102">
        <f>37.698287/10</f>
        <v>3.7698287000000001</v>
      </c>
      <c r="K10" s="102">
        <v>687.86220000000003</v>
      </c>
      <c r="L10" s="102">
        <f>24270.9/10</f>
        <v>2427.09</v>
      </c>
      <c r="M10" s="101"/>
    </row>
    <row r="11" spans="1:13">
      <c r="A11" s="92"/>
      <c r="B11" s="106"/>
      <c r="C11" s="106"/>
      <c r="D11" s="118"/>
      <c r="E11" s="106"/>
      <c r="F11" s="105"/>
      <c r="H11" s="92" t="s">
        <v>119</v>
      </c>
      <c r="I11" s="102" t="e">
        <f>Sheet!#REF!/10</f>
        <v>#REF!</v>
      </c>
      <c r="J11" s="102">
        <f>535.41494/10</f>
        <v>53.541494</v>
      </c>
      <c r="K11" s="102">
        <v>567.39290000000005</v>
      </c>
      <c r="L11" s="102">
        <f>28914.31/10</f>
        <v>2891.431</v>
      </c>
      <c r="M11" s="101"/>
    </row>
    <row r="12" spans="1:13">
      <c r="A12" s="109" t="s">
        <v>184</v>
      </c>
      <c r="B12" s="117">
        <v>91.66</v>
      </c>
      <c r="C12" s="117">
        <v>-12.086257</v>
      </c>
      <c r="D12" s="117">
        <v>950</v>
      </c>
      <c r="E12" s="117">
        <v>746440.73</v>
      </c>
      <c r="F12" s="116"/>
      <c r="H12" s="92" t="s">
        <v>118</v>
      </c>
      <c r="I12" s="102" t="e">
        <f>Sheet!#REF!/10</f>
        <v>#REF!</v>
      </c>
      <c r="J12" s="102"/>
      <c r="K12" s="102"/>
      <c r="L12" s="102"/>
      <c r="M12" s="101"/>
    </row>
    <row r="13" spans="1:13">
      <c r="A13" s="109" t="s">
        <v>195</v>
      </c>
      <c r="B13" s="117">
        <v>98.03</v>
      </c>
      <c r="C13" s="117">
        <v>126.62</v>
      </c>
      <c r="D13" s="117">
        <v>370</v>
      </c>
      <c r="E13" s="117">
        <v>391346.3</v>
      </c>
      <c r="F13" s="116"/>
      <c r="H13" s="92" t="s">
        <v>117</v>
      </c>
      <c r="I13" s="102" t="e">
        <f>Sheet!#REF!/10</f>
        <v>#REF!</v>
      </c>
      <c r="J13" s="102"/>
      <c r="K13" s="102"/>
      <c r="L13" s="102"/>
      <c r="M13" s="101"/>
    </row>
    <row r="14" spans="1:13">
      <c r="A14" s="109" t="s">
        <v>112</v>
      </c>
      <c r="B14" s="108">
        <f>((B12/B13)^(1/2)-1)</f>
        <v>-3.3035733922997745E-2</v>
      </c>
      <c r="C14" s="108">
        <f>((C12/C13)^(1/3)-1)</f>
        <v>-1.4570143517213985</v>
      </c>
      <c r="D14" s="108">
        <f>((D12/D13)^(1/3)-1)</f>
        <v>0.36932738530992992</v>
      </c>
      <c r="E14" s="108">
        <f>((E12/E13)^(1/3)-1)</f>
        <v>0.24016089301202226</v>
      </c>
      <c r="F14" s="107"/>
      <c r="H14" s="92" t="s">
        <v>199</v>
      </c>
      <c r="I14" s="102" t="e">
        <f>Sheet!#REF!/10</f>
        <v>#REF!</v>
      </c>
      <c r="J14" s="102">
        <v>26.2671697</v>
      </c>
      <c r="K14" s="102">
        <v>295.93650000000002</v>
      </c>
      <c r="L14" s="102">
        <f>9982.07/10</f>
        <v>998.20699999999999</v>
      </c>
      <c r="M14" s="101"/>
    </row>
    <row r="15" spans="1:13">
      <c r="A15" s="92"/>
      <c r="B15" s="106"/>
      <c r="C15" s="106"/>
      <c r="D15" s="106"/>
      <c r="E15" s="106"/>
      <c r="F15" s="105"/>
      <c r="H15" s="92" t="s">
        <v>116</v>
      </c>
      <c r="I15" s="102" t="e">
        <f>Sheet!#REF!/10</f>
        <v>#REF!</v>
      </c>
      <c r="J15" s="102">
        <v>26.41</v>
      </c>
      <c r="K15" s="102">
        <v>264.34910000000002</v>
      </c>
      <c r="L15" s="102">
        <f>9131.9/10</f>
        <v>913.18999999999994</v>
      </c>
      <c r="M15" s="101"/>
    </row>
    <row r="16" spans="1:13">
      <c r="A16" s="92" t="s">
        <v>185</v>
      </c>
      <c r="B16" s="102" t="e">
        <f>Sheet!#REF!</f>
        <v>#REF!</v>
      </c>
      <c r="C16" s="102">
        <v>7.7896939999999999</v>
      </c>
      <c r="D16" s="102">
        <v>105.111</v>
      </c>
      <c r="E16" s="102">
        <v>2486.0700000000002</v>
      </c>
      <c r="F16" s="101"/>
      <c r="H16" s="92" t="s">
        <v>115</v>
      </c>
      <c r="I16" s="102">
        <f>6.477/10</f>
        <v>0.64770000000000005</v>
      </c>
      <c r="J16" s="102">
        <v>2.4266741000000001</v>
      </c>
      <c r="K16" s="102">
        <v>97</v>
      </c>
      <c r="L16" s="102">
        <v>758.72299999999996</v>
      </c>
      <c r="M16" s="101"/>
    </row>
    <row r="17" spans="1:13">
      <c r="A17" s="92" t="s">
        <v>186</v>
      </c>
      <c r="B17" s="102" t="e">
        <f>Sheet!#REF!</f>
        <v>#REF!</v>
      </c>
      <c r="C17" s="102">
        <v>13.548296000000001</v>
      </c>
      <c r="D17" s="102">
        <v>122.89</v>
      </c>
      <c r="E17" s="102">
        <v>1668.01</v>
      </c>
      <c r="F17" s="101"/>
      <c r="H17" s="92" t="s">
        <v>114</v>
      </c>
      <c r="I17" s="102" t="e">
        <f>Sheet!#REF!/10</f>
        <v>#REF!</v>
      </c>
      <c r="J17" s="102">
        <v>19.4342252</v>
      </c>
      <c r="K17" s="102">
        <v>497.74849999999998</v>
      </c>
      <c r="L17" s="102">
        <v>1401.7619999999999</v>
      </c>
      <c r="M17" s="101"/>
    </row>
    <row r="18" spans="1:13">
      <c r="A18" s="92"/>
      <c r="B18" s="102"/>
      <c r="C18" s="102"/>
      <c r="D18" s="102"/>
      <c r="E18" s="102"/>
      <c r="F18" s="101"/>
      <c r="H18" s="92" t="s">
        <v>200</v>
      </c>
      <c r="I18" s="102" t="e">
        <f>Sheet!#REF!/10</f>
        <v>#REF!</v>
      </c>
      <c r="J18" s="102">
        <v>2.2490570000000001</v>
      </c>
      <c r="K18" s="102">
        <v>37.823300000000003</v>
      </c>
      <c r="L18" s="102">
        <f>1632.57/10</f>
        <v>163.25700000000001</v>
      </c>
      <c r="M18" s="101"/>
    </row>
    <row r="19" spans="1:13">
      <c r="A19" s="92" t="s">
        <v>196</v>
      </c>
      <c r="B19" s="102" t="e">
        <f>Sheet!#REF!</f>
        <v>#REF!</v>
      </c>
      <c r="C19" s="102">
        <v>2.9770289999999999</v>
      </c>
      <c r="D19" s="102">
        <v>61.046999999999997</v>
      </c>
      <c r="E19" s="102">
        <v>332.995</v>
      </c>
      <c r="F19" s="101"/>
      <c r="H19" s="92" t="s">
        <v>113</v>
      </c>
      <c r="I19" s="102" t="e">
        <f>Sheet!#REF!/10</f>
        <v>#REF!</v>
      </c>
      <c r="J19" s="102">
        <v>1.6276584999999999</v>
      </c>
      <c r="K19" s="102">
        <v>27.983699999999999</v>
      </c>
      <c r="L19" s="102">
        <f>1729.17/10</f>
        <v>172.917</v>
      </c>
      <c r="M19" s="101"/>
    </row>
    <row r="20" spans="1:13" ht="15" thickBot="1">
      <c r="A20" s="92" t="s">
        <v>197</v>
      </c>
      <c r="B20" s="102" t="e">
        <f>Sheet!#REF!</f>
        <v>#REF!</v>
      </c>
      <c r="C20" s="102">
        <v>6.3548049999999998</v>
      </c>
      <c r="D20" s="102">
        <v>10.971</v>
      </c>
      <c r="E20" s="102">
        <v>478.60700000000003</v>
      </c>
      <c r="F20" s="101"/>
      <c r="H20" s="115" t="s">
        <v>47</v>
      </c>
      <c r="I20" s="114" t="e">
        <f>I11-I17-I7</f>
        <v>#REF!</v>
      </c>
      <c r="J20" s="114">
        <f>J11-J17-J7</f>
        <v>30.947436199999999</v>
      </c>
      <c r="K20" s="114">
        <f>K11-K17-K7</f>
        <v>-6.5897999999999257</v>
      </c>
      <c r="L20" s="114">
        <f>L11-L17-L7</f>
        <v>607.00900000000001</v>
      </c>
      <c r="M20" s="114"/>
    </row>
    <row r="21" spans="1:13">
      <c r="A21" s="92"/>
      <c r="B21" s="102"/>
      <c r="C21" s="102"/>
      <c r="D21" s="102"/>
      <c r="E21" s="102"/>
      <c r="F21" s="101"/>
    </row>
    <row r="22" spans="1:13">
      <c r="A22" s="92" t="s">
        <v>187</v>
      </c>
      <c r="B22" s="102" t="e">
        <f>Sheet!#REF!</f>
        <v>#REF!</v>
      </c>
      <c r="C22" s="102">
        <v>-29.274135000000001</v>
      </c>
      <c r="D22" s="102">
        <v>829.74</v>
      </c>
      <c r="E22" s="102">
        <v>2796.5</v>
      </c>
      <c r="F22" s="101"/>
    </row>
    <row r="23" spans="1:13">
      <c r="A23" s="92" t="s">
        <v>198</v>
      </c>
      <c r="B23" s="102" t="e">
        <f>Sheet!#REF!</f>
        <v>#REF!</v>
      </c>
      <c r="C23" s="102">
        <v>118.606239</v>
      </c>
      <c r="D23" s="102">
        <v>515.05899999999997</v>
      </c>
      <c r="E23" s="102">
        <v>1723.1489999999999</v>
      </c>
      <c r="F23" s="203"/>
    </row>
    <row r="24" spans="1:13" ht="15" thickBot="1">
      <c r="A24" s="92"/>
      <c r="B24" s="102"/>
      <c r="C24" s="102"/>
      <c r="D24" s="102"/>
      <c r="E24" s="102"/>
      <c r="F24" s="101"/>
      <c r="I24" s="113" t="s">
        <v>163</v>
      </c>
      <c r="J24" s="113" t="s">
        <v>163</v>
      </c>
      <c r="K24" s="113" t="s">
        <v>163</v>
      </c>
      <c r="L24" s="113" t="s">
        <v>163</v>
      </c>
      <c r="M24" s="113"/>
    </row>
    <row r="25" spans="1:13" ht="43.2">
      <c r="A25" s="92" t="s">
        <v>188</v>
      </c>
      <c r="B25" s="102" t="e">
        <f>Sheet!#REF!</f>
        <v>#REF!</v>
      </c>
      <c r="C25" s="102">
        <v>-34.437690000000003</v>
      </c>
      <c r="D25" s="102">
        <v>349.75299999999999</v>
      </c>
      <c r="E25" s="102">
        <v>-4318.78</v>
      </c>
      <c r="F25" s="101"/>
      <c r="H25" s="112" t="s">
        <v>49</v>
      </c>
      <c r="I25" s="111" t="s">
        <v>180</v>
      </c>
      <c r="J25" s="111" t="s">
        <v>202</v>
      </c>
      <c r="K25" s="111" t="s">
        <v>182</v>
      </c>
      <c r="L25" s="111" t="s">
        <v>193</v>
      </c>
      <c r="M25" s="110"/>
    </row>
    <row r="26" spans="1:13">
      <c r="A26" s="92" t="s">
        <v>201</v>
      </c>
      <c r="B26" s="102" t="e">
        <f>Sheet!#REF!</f>
        <v>#REF!</v>
      </c>
      <c r="C26" s="102">
        <v>76.819540000000003</v>
      </c>
      <c r="D26" s="102">
        <v>575.70399999999995</v>
      </c>
      <c r="E26" s="102">
        <v>1218.7940000000001</v>
      </c>
      <c r="F26" s="101"/>
      <c r="H26" s="92" t="s">
        <v>73</v>
      </c>
      <c r="I26" s="98" t="e">
        <f>Sheet!#REF!</f>
        <v>#REF!</v>
      </c>
      <c r="J26" s="98">
        <v>79408926</v>
      </c>
      <c r="K26" s="229">
        <v>17096769</v>
      </c>
      <c r="L26" s="229">
        <v>147637945</v>
      </c>
      <c r="M26" s="97"/>
    </row>
    <row r="27" spans="1:13">
      <c r="A27" s="109" t="s">
        <v>112</v>
      </c>
      <c r="B27" s="146" t="e">
        <f>Sheet!#REF!</f>
        <v>#REF!</v>
      </c>
      <c r="C27" s="149">
        <f>(C25/C26)^(1/3)-1</f>
        <v>-1.7653394559979039</v>
      </c>
      <c r="D27" s="149">
        <f t="shared" ref="D27:E27" si="0">(D25/D26)^(1/3)-1</f>
        <v>-0.15305722580988934</v>
      </c>
      <c r="E27" s="149">
        <f t="shared" si="0"/>
        <v>-2.5245567365343407</v>
      </c>
      <c r="F27" s="149"/>
      <c r="H27" s="92" t="s">
        <v>74</v>
      </c>
      <c r="I27" s="100" t="e">
        <f>Sheet!#REF!/10</f>
        <v>#REF!</v>
      </c>
      <c r="J27" s="100">
        <f>J26*J31/10^7</f>
        <v>174.30259257</v>
      </c>
      <c r="K27" s="230">
        <v>38506.197999999997</v>
      </c>
      <c r="L27" s="230">
        <v>61218.074000000001</v>
      </c>
      <c r="M27" s="99"/>
    </row>
    <row r="28" spans="1:13">
      <c r="A28" s="92"/>
      <c r="B28" s="106"/>
      <c r="C28" s="106"/>
      <c r="D28" s="106"/>
      <c r="E28" s="106"/>
      <c r="F28" s="105"/>
      <c r="H28" s="92" t="s">
        <v>77</v>
      </c>
      <c r="I28" s="100" t="e">
        <f>Sheet!#REF!/10</f>
        <v>#REF!</v>
      </c>
      <c r="J28" s="100">
        <f>J8</f>
        <v>3.1750452</v>
      </c>
      <c r="K28" s="100">
        <f>K8</f>
        <v>76.234200000000001</v>
      </c>
      <c r="L28" s="100">
        <f>L8</f>
        <v>997.62700000000007</v>
      </c>
      <c r="M28" s="99"/>
    </row>
    <row r="29" spans="1:13" ht="15" thickBot="1">
      <c r="A29" s="89" t="s">
        <v>189</v>
      </c>
      <c r="B29" s="104" t="e">
        <f>Sheet!#REF!</f>
        <v>#REF!</v>
      </c>
      <c r="C29" s="104">
        <v>-3.55</v>
      </c>
      <c r="D29" s="104">
        <v>20.46</v>
      </c>
      <c r="E29" s="104">
        <v>-30.22</v>
      </c>
      <c r="F29" s="103"/>
      <c r="H29" s="92" t="s">
        <v>75</v>
      </c>
      <c r="I29" s="100" t="e">
        <f>Sheet!#REF!/10</f>
        <v>#REF!</v>
      </c>
      <c r="J29" s="100">
        <f>J16</f>
        <v>2.4266741000000001</v>
      </c>
      <c r="K29" s="100">
        <f>K16</f>
        <v>97</v>
      </c>
      <c r="L29" s="100">
        <f>L16</f>
        <v>758.72299999999996</v>
      </c>
      <c r="M29" s="99"/>
    </row>
    <row r="30" spans="1:13">
      <c r="H30" s="92" t="s">
        <v>76</v>
      </c>
      <c r="I30" s="100" t="e">
        <f>Sheet!#REF!/10</f>
        <v>#REF!</v>
      </c>
      <c r="J30" s="100">
        <f>J27+J28-J29</f>
        <v>175.05096366999999</v>
      </c>
      <c r="K30" s="100">
        <f>K27+K28-K29</f>
        <v>38485.432199999996</v>
      </c>
      <c r="L30" s="100">
        <f>L27+L28-L29</f>
        <v>61456.978000000003</v>
      </c>
      <c r="M30" s="99"/>
    </row>
    <row r="31" spans="1:13">
      <c r="H31" s="92" t="s">
        <v>51</v>
      </c>
      <c r="I31" s="102" t="e">
        <f>Sheet!#REF!</f>
        <v>#REF!</v>
      </c>
      <c r="J31" s="102">
        <v>21.95</v>
      </c>
      <c r="K31" s="102">
        <v>2258.35</v>
      </c>
      <c r="L31" s="102">
        <v>424.1</v>
      </c>
      <c r="M31" s="101"/>
    </row>
    <row r="32" spans="1:13">
      <c r="H32" s="92" t="s">
        <v>52</v>
      </c>
      <c r="I32" s="100" t="e">
        <f>B29</f>
        <v>#REF!</v>
      </c>
      <c r="J32" s="100">
        <f>C29</f>
        <v>-3.55</v>
      </c>
      <c r="K32" s="100">
        <f>D29</f>
        <v>20.46</v>
      </c>
      <c r="L32" s="100">
        <f>E29</f>
        <v>-30.22</v>
      </c>
      <c r="M32" s="99"/>
    </row>
    <row r="33" spans="8:13">
      <c r="H33" s="92" t="s">
        <v>53</v>
      </c>
      <c r="I33" s="100" t="e">
        <f>Sheet!#REF!</f>
        <v>#REF!</v>
      </c>
      <c r="J33" s="100">
        <f>J5*10^7/J26</f>
        <v>43.505613084352767</v>
      </c>
      <c r="K33" s="100">
        <f>K5*10^7/K26</f>
        <v>3346.1778655370499</v>
      </c>
      <c r="L33" s="100">
        <f>L5*10^7/L26</f>
        <v>1541.5684633107023</v>
      </c>
      <c r="M33" s="99"/>
    </row>
    <row r="34" spans="8:13">
      <c r="H34" s="92" t="s">
        <v>55</v>
      </c>
      <c r="I34" s="91" t="e">
        <f>Sheet!#REF!</f>
        <v>#REF!</v>
      </c>
      <c r="J34" s="91">
        <f>J31/J32</f>
        <v>-6.183098591549296</v>
      </c>
      <c r="K34" s="91">
        <f>K31/K32</f>
        <v>110.37878787878788</v>
      </c>
      <c r="L34" s="91">
        <f>L31/L32</f>
        <v>-14.033752481800134</v>
      </c>
      <c r="M34" s="90"/>
    </row>
    <row r="35" spans="8:13">
      <c r="H35" s="92" t="s">
        <v>56</v>
      </c>
      <c r="I35" s="91" t="e">
        <f>Sheet!#REF!</f>
        <v>#REF!</v>
      </c>
      <c r="J35" s="91">
        <f>J31/J33</f>
        <v>0.50453259806823725</v>
      </c>
      <c r="K35" s="91">
        <f>K31/K33</f>
        <v>0.67490435079951816</v>
      </c>
      <c r="L35" s="91">
        <f>L31/L33</f>
        <v>0.27510941621703561</v>
      </c>
      <c r="M35" s="90"/>
    </row>
    <row r="36" spans="8:13">
      <c r="H36" s="92" t="s">
        <v>57</v>
      </c>
      <c r="I36" s="91" t="e">
        <f>Sheet!#REF!</f>
        <v>#REF!</v>
      </c>
      <c r="J36" s="91">
        <f>J30/C12</f>
        <v>-14.483471902839728</v>
      </c>
      <c r="K36" s="91">
        <f>K30/D12</f>
        <v>40.510981263157888</v>
      </c>
      <c r="L36" s="91">
        <f>L30/E12</f>
        <v>8.2333366240612299E-2</v>
      </c>
      <c r="M36" s="90"/>
    </row>
    <row r="37" spans="8:13">
      <c r="H37" s="92" t="s">
        <v>58</v>
      </c>
      <c r="I37" s="94" t="e">
        <f>Sheet!#REF!</f>
        <v>#REF!</v>
      </c>
      <c r="J37" s="94">
        <f>C25/J5</f>
        <v>-9.9682609139567308E-2</v>
      </c>
      <c r="K37" s="94">
        <f>D25/K5</f>
        <v>6.1136191738233418E-2</v>
      </c>
      <c r="L37" s="94">
        <f>E25/L5</f>
        <v>-0.18975807798096608</v>
      </c>
      <c r="M37" s="94"/>
    </row>
    <row r="38" spans="8:13">
      <c r="H38" s="92" t="s">
        <v>59</v>
      </c>
      <c r="I38" s="94" t="e">
        <f>Sheet!#REF!</f>
        <v>#REF!</v>
      </c>
      <c r="J38" s="94">
        <f>(C22+C17)/J9/10</f>
        <v>-4.5296883395903695E-2</v>
      </c>
      <c r="K38" s="94">
        <f>(D22+D17)/K9/10</f>
        <v>0.13983099858441347</v>
      </c>
      <c r="L38" s="94">
        <f>(E22+E17)/L9/10</f>
        <v>0.14714450649105382</v>
      </c>
      <c r="M38" s="93"/>
    </row>
    <row r="39" spans="8:13">
      <c r="H39" s="92" t="s">
        <v>110</v>
      </c>
      <c r="I39" s="91" t="e">
        <f>I10/B5</f>
        <v>#REF!</v>
      </c>
      <c r="J39" s="91">
        <f>J10/C5</f>
        <v>3.4595486965076239E-3</v>
      </c>
      <c r="K39" s="91">
        <f>K10/D5</f>
        <v>1.3226272639627621E-2</v>
      </c>
      <c r="L39" s="91">
        <f>L10/E5</f>
        <v>2.2081553697672434E-2</v>
      </c>
      <c r="M39" s="90"/>
    </row>
    <row r="40" spans="8:13">
      <c r="H40" s="92" t="s">
        <v>60</v>
      </c>
      <c r="I40" s="91" t="e">
        <f>Sheet!#REF!</f>
        <v>#REF!</v>
      </c>
      <c r="J40" s="91">
        <f>J8/J5</f>
        <v>9.1904186858078833E-3</v>
      </c>
      <c r="K40" s="91">
        <f>K8/K5</f>
        <v>1.3325600261358256E-2</v>
      </c>
      <c r="L40" s="91">
        <f>L8/L5</f>
        <v>4.3833624787999681E-2</v>
      </c>
      <c r="M40" s="90"/>
    </row>
    <row r="41" spans="8:13">
      <c r="H41" s="92" t="s">
        <v>61</v>
      </c>
      <c r="I41" s="91" t="e">
        <f>Sheet!#REF!</f>
        <v>#REF!</v>
      </c>
      <c r="J41" s="91">
        <f>(J8-J16)/J5</f>
        <v>2.1662191585047671E-3</v>
      </c>
      <c r="K41" s="91">
        <f>(K8-K16)/K5</f>
        <v>-3.6298242771264505E-3</v>
      </c>
      <c r="L41" s="91">
        <f>(L8-L16)/L5</f>
        <v>1.0496937529108855E-2</v>
      </c>
      <c r="M41" s="90"/>
    </row>
    <row r="42" spans="8:13">
      <c r="H42" s="92" t="s">
        <v>111</v>
      </c>
      <c r="I42" s="147" t="e">
        <f>Sheet!#REF!</f>
        <v>#REF!</v>
      </c>
      <c r="J42" s="147">
        <v>2.5</v>
      </c>
      <c r="K42" s="147">
        <v>7.5</v>
      </c>
      <c r="L42" s="147">
        <v>0.5</v>
      </c>
      <c r="M42" s="148"/>
    </row>
    <row r="43" spans="8:13">
      <c r="H43" s="92" t="s">
        <v>62</v>
      </c>
      <c r="I43" s="94" t="e">
        <f>Sheet!#REF!</f>
        <v>#REF!</v>
      </c>
      <c r="J43" s="94">
        <f>J42/J31</f>
        <v>0.11389521640091116</v>
      </c>
      <c r="K43" s="94">
        <f>K42/K31</f>
        <v>3.321008701042797E-3</v>
      </c>
      <c r="L43" s="94">
        <f>L42/L31</f>
        <v>1.1789672247111531E-3</v>
      </c>
      <c r="M43" s="93"/>
    </row>
    <row r="44" spans="8:13">
      <c r="H44" s="92" t="s">
        <v>63</v>
      </c>
      <c r="I44" s="96" t="e">
        <f>Sheet!#REF!</f>
        <v>#REF!</v>
      </c>
      <c r="J44" s="96">
        <f>AVERAGE(J14:J15)/C5*365</f>
        <v>8.8223266386800621</v>
      </c>
      <c r="K44" s="96">
        <f>AVERAGE(K14:K15)/D5*365</f>
        <v>1.9661124619908836</v>
      </c>
      <c r="L44" s="96">
        <f>AVERAGE(L14:L15)/E5*365</f>
        <v>3.1736389369513587</v>
      </c>
      <c r="M44" s="95"/>
    </row>
    <row r="45" spans="8:13">
      <c r="H45" s="92" t="s">
        <v>64</v>
      </c>
      <c r="I45" s="96" t="e">
        <f>Sheet!#REF!</f>
        <v>#REF!</v>
      </c>
      <c r="J45" s="96" t="e">
        <f>AVERAGE(J18:J19)/C9*365</f>
        <v>#DIV/0!</v>
      </c>
      <c r="K45" s="96" t="e">
        <f>AVERAGE(K18:K19)/D9*365</f>
        <v>#DIV/0!</v>
      </c>
      <c r="L45" s="96" t="e">
        <f>AVERAGE(L18:L19)/E9*365</f>
        <v>#DIV/0!</v>
      </c>
      <c r="M45" s="95"/>
    </row>
    <row r="46" spans="8:13">
      <c r="H46" s="92" t="s">
        <v>65</v>
      </c>
      <c r="I46" s="96" t="e">
        <f>Sheet!#REF!</f>
        <v>#REF!</v>
      </c>
      <c r="J46" s="96" t="e">
        <f>AVERAGE(J12:J13)/(C9+C10)*365</f>
        <v>#DIV/0!</v>
      </c>
      <c r="K46" s="96" t="e">
        <f>AVERAGE(K12:K13)/(D9+D10)*365</f>
        <v>#DIV/0!</v>
      </c>
      <c r="L46" s="96" t="e">
        <f>AVERAGE(L12:L13)/(E9+E10)*365</f>
        <v>#DIV/0!</v>
      </c>
      <c r="M46" s="95"/>
    </row>
    <row r="47" spans="8:13">
      <c r="H47" s="92" t="s">
        <v>81</v>
      </c>
      <c r="I47" s="96" t="e">
        <f>I44+I46-I45</f>
        <v>#REF!</v>
      </c>
      <c r="J47" s="96" t="e">
        <f>J44+J46-J45</f>
        <v>#DIV/0!</v>
      </c>
      <c r="K47" s="96" t="e">
        <f>K44+K46-K45</f>
        <v>#DIV/0!</v>
      </c>
      <c r="L47" s="96" t="e">
        <f>L44+L46-L45</f>
        <v>#DIV/0!</v>
      </c>
      <c r="M47" s="95"/>
    </row>
    <row r="48" spans="8:13">
      <c r="H48" s="92" t="s">
        <v>66</v>
      </c>
      <c r="I48" s="96" t="e">
        <f>Sheet!#REF!</f>
        <v>#REF!</v>
      </c>
      <c r="J48" s="96">
        <f>J20/C5*365</f>
        <v>10.366099482604193</v>
      </c>
      <c r="K48" s="96">
        <f>K20/D5*365</f>
        <v>-4.6248869869321564E-2</v>
      </c>
      <c r="L48" s="96">
        <f>L20/E5*365</f>
        <v>2.0157271330654045</v>
      </c>
      <c r="M48" s="95"/>
    </row>
    <row r="49" spans="8:13">
      <c r="H49" s="92" t="s">
        <v>86</v>
      </c>
      <c r="I49" s="94" t="e">
        <f>Sheet!#REF!</f>
        <v>#REF!</v>
      </c>
      <c r="J49" s="94">
        <f>C17/J8/10</f>
        <v>0.42671190948714682</v>
      </c>
      <c r="K49" s="94">
        <f t="shared" ref="K49:L49" si="1">D17/K8/10</f>
        <v>0.16120061599649499</v>
      </c>
      <c r="L49" s="94">
        <f t="shared" si="1"/>
        <v>0.16719776028515668</v>
      </c>
      <c r="M49" s="93"/>
    </row>
    <row r="50" spans="8:13" ht="15" thickBot="1">
      <c r="H50" s="89" t="s">
        <v>109</v>
      </c>
      <c r="I50" s="88" t="e">
        <f>Sheet!#REF!</f>
        <v>#REF!</v>
      </c>
      <c r="J50" s="88">
        <f>(C22+C17)/C17</f>
        <v>-1.1607244925856359</v>
      </c>
      <c r="K50" s="88">
        <f>(D22+D17)/D17</f>
        <v>7.7518919358776142</v>
      </c>
      <c r="L50" s="88">
        <f>(E22+E17)/E17</f>
        <v>2.6765487017463925</v>
      </c>
      <c r="M50" s="87"/>
    </row>
  </sheetData>
  <mergeCells count="1">
    <mergeCell ref="A1:M1"/>
  </mergeCells>
  <printOptions horizontalCentered="1"/>
  <pageMargins left="0.23622047244094491" right="0.23622047244094491" top="0.23622047244094491" bottom="0.23622047244094491" header="0.31496062992125984" footer="0.31496062992125984"/>
  <pageSetup paperSize="9" scale="76" orientation="landscape" horizontalDpi="1200" r:id="rId1"/>
  <ignoredErrors>
    <ignoredError sqref="J44:L46" formulaRange="1"/>
  </ignoredError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I51"/>
  <sheetViews>
    <sheetView view="pageBreakPreview" zoomScaleSheetLayoutView="100" workbookViewId="0">
      <selection activeCell="B37" sqref="B37"/>
    </sheetView>
  </sheetViews>
  <sheetFormatPr defaultColWidth="9.109375" defaultRowHeight="14.4"/>
  <cols>
    <col min="1" max="1" width="25.44140625" style="122" customWidth="1"/>
    <col min="2" max="5" width="14.5546875" style="122" customWidth="1"/>
    <col min="6" max="8" width="14.5546875" style="123" customWidth="1"/>
    <col min="9" max="9" width="14.5546875" style="122" customWidth="1"/>
    <col min="10" max="16384" width="9.109375" style="122"/>
  </cols>
  <sheetData>
    <row r="1" spans="1:9" s="86" customFormat="1" ht="18.600000000000001" thickBot="1">
      <c r="A1" s="347" t="s">
        <v>191</v>
      </c>
      <c r="B1" s="348"/>
      <c r="C1" s="348"/>
      <c r="D1" s="348"/>
      <c r="E1" s="348"/>
      <c r="F1" s="348"/>
      <c r="G1" s="348"/>
      <c r="H1" s="348"/>
      <c r="I1" s="349"/>
    </row>
    <row r="2" spans="1:9" s="144" customFormat="1" ht="28.8">
      <c r="A2" s="350" t="s">
        <v>151</v>
      </c>
      <c r="B2" s="111" t="s">
        <v>180</v>
      </c>
      <c r="C2" s="111" t="s">
        <v>180</v>
      </c>
      <c r="D2" s="111" t="s">
        <v>192</v>
      </c>
      <c r="E2" s="111" t="s">
        <v>192</v>
      </c>
      <c r="F2" s="111" t="s">
        <v>182</v>
      </c>
      <c r="G2" s="111" t="s">
        <v>182</v>
      </c>
      <c r="H2" s="111" t="s">
        <v>193</v>
      </c>
      <c r="I2" s="111" t="s">
        <v>193</v>
      </c>
    </row>
    <row r="3" spans="1:9" s="144" customFormat="1" ht="31.2">
      <c r="A3" s="351"/>
      <c r="B3" s="145" t="s">
        <v>205</v>
      </c>
      <c r="C3" s="145" t="s">
        <v>206</v>
      </c>
      <c r="D3" s="145" t="s">
        <v>205</v>
      </c>
      <c r="E3" s="145" t="s">
        <v>206</v>
      </c>
      <c r="F3" s="145" t="s">
        <v>205</v>
      </c>
      <c r="G3" s="145" t="s">
        <v>206</v>
      </c>
      <c r="H3" s="145" t="s">
        <v>205</v>
      </c>
      <c r="I3" s="145" t="s">
        <v>206</v>
      </c>
    </row>
    <row r="4" spans="1:9" ht="15.6">
      <c r="A4" s="129" t="s">
        <v>150</v>
      </c>
      <c r="B4" s="143"/>
      <c r="C4" s="143"/>
      <c r="D4" s="143"/>
      <c r="E4" s="143"/>
      <c r="F4" s="142"/>
      <c r="G4" s="142"/>
      <c r="H4" s="142"/>
      <c r="I4" s="142"/>
    </row>
    <row r="5" spans="1:9">
      <c r="A5" s="129" t="s">
        <v>125</v>
      </c>
      <c r="B5" s="126"/>
      <c r="C5" s="126"/>
      <c r="D5" s="126"/>
      <c r="E5" s="126"/>
      <c r="F5" s="130"/>
      <c r="G5" s="130"/>
      <c r="H5" s="130"/>
      <c r="I5" s="130"/>
    </row>
    <row r="6" spans="1:9">
      <c r="A6" s="126" t="s">
        <v>107</v>
      </c>
      <c r="B6" s="117" t="e">
        <f>Sheet!#REF!</f>
        <v>#REF!</v>
      </c>
      <c r="C6" s="117" t="e">
        <f>Sheet!#REF!</f>
        <v>#REF!</v>
      </c>
      <c r="D6" s="141">
        <v>1022.462</v>
      </c>
      <c r="E6" s="141">
        <v>724.19</v>
      </c>
      <c r="F6" s="141">
        <v>48814.567000000003</v>
      </c>
      <c r="G6" s="141">
        <v>29003.346000000001</v>
      </c>
      <c r="H6" s="141">
        <v>108368.95</v>
      </c>
      <c r="I6" s="248">
        <v>62147.49</v>
      </c>
    </row>
    <row r="7" spans="1:9">
      <c r="A7" s="126" t="s">
        <v>148</v>
      </c>
      <c r="B7" s="237" t="e">
        <f>Sheet!#REF!</f>
        <v>#REF!</v>
      </c>
      <c r="C7" s="124"/>
      <c r="D7" s="124">
        <v>0.23</v>
      </c>
      <c r="E7" s="124"/>
      <c r="F7" s="124">
        <v>0.1</v>
      </c>
      <c r="G7" s="124"/>
      <c r="H7" s="124">
        <v>0.21</v>
      </c>
      <c r="I7" s="124"/>
    </row>
    <row r="8" spans="1:9" s="132" customFormat="1">
      <c r="A8" s="129" t="s">
        <v>4</v>
      </c>
      <c r="B8" s="236" t="e">
        <f>Sheet!#REF!</f>
        <v>#REF!</v>
      </c>
      <c r="C8" s="236" t="e">
        <f>Sheet!#REF!</f>
        <v>#REF!</v>
      </c>
      <c r="D8" s="140">
        <v>48.378999999999998</v>
      </c>
      <c r="E8" s="140">
        <v>38.869999999999997</v>
      </c>
      <c r="F8" s="140">
        <v>985.06700000000001</v>
      </c>
      <c r="G8" s="140">
        <v>636.65499999999997</v>
      </c>
      <c r="H8" s="140">
        <v>4581.1000000000004</v>
      </c>
      <c r="I8" s="248">
        <v>2592</v>
      </c>
    </row>
    <row r="9" spans="1:9">
      <c r="A9" s="126" t="s">
        <v>148</v>
      </c>
      <c r="B9" s="237" t="e">
        <f>Sheet!#REF!</f>
        <v>#REF!</v>
      </c>
      <c r="C9" s="124"/>
      <c r="D9" s="124">
        <f>'Peer Analysis working'!C14</f>
        <v>-1.4570143517213985</v>
      </c>
      <c r="E9" s="124"/>
      <c r="F9" s="124">
        <f>'Peer Analysis working'!D14</f>
        <v>0.36932738530992992</v>
      </c>
      <c r="G9" s="124"/>
      <c r="H9" s="124">
        <f>'Peer Analysis working'!E14</f>
        <v>0.24016089301202226</v>
      </c>
      <c r="I9" s="124"/>
    </row>
    <row r="10" spans="1:9" s="132" customFormat="1">
      <c r="A10" s="129" t="s">
        <v>149</v>
      </c>
      <c r="B10" s="233" t="e">
        <f>Sheet!#REF!</f>
        <v>#REF!</v>
      </c>
      <c r="C10" s="253" t="e">
        <f>Sheet!#REF!</f>
        <v>#REF!</v>
      </c>
      <c r="D10" s="138">
        <f t="shared" ref="D10:I10" si="0">+D8/D$6</f>
        <v>4.7316183877738241E-2</v>
      </c>
      <c r="E10" s="138">
        <v>5.3699999999999998E-2</v>
      </c>
      <c r="F10" s="138">
        <f t="shared" si="0"/>
        <v>2.0179775434656624E-2</v>
      </c>
      <c r="G10" s="138">
        <v>2.1899999999999999E-2</v>
      </c>
      <c r="H10" s="138">
        <f t="shared" si="0"/>
        <v>4.2273178802599828E-2</v>
      </c>
      <c r="I10" s="138">
        <f t="shared" si="0"/>
        <v>4.1707235481272052E-2</v>
      </c>
    </row>
    <row r="11" spans="1:9" s="132" customFormat="1">
      <c r="A11" s="129" t="s">
        <v>13</v>
      </c>
      <c r="B11" s="235" t="e">
        <f>Sheet!#REF!</f>
        <v>#REF!</v>
      </c>
      <c r="C11" s="235" t="e">
        <f>Sheet!#REF!</f>
        <v>#REF!</v>
      </c>
      <c r="D11" s="139">
        <v>42.953000000000003</v>
      </c>
      <c r="E11" s="139">
        <v>30.68</v>
      </c>
      <c r="F11" s="139">
        <v>784.74699999999996</v>
      </c>
      <c r="G11" s="139">
        <v>-224.178</v>
      </c>
      <c r="H11" s="139">
        <v>736.89</v>
      </c>
      <c r="I11" s="139">
        <v>858.6</v>
      </c>
    </row>
    <row r="12" spans="1:9">
      <c r="A12" s="126" t="s">
        <v>148</v>
      </c>
      <c r="B12" s="234" t="e">
        <f>Sheet!#REF!</f>
        <v>#REF!</v>
      </c>
      <c r="C12" s="124"/>
      <c r="D12" s="124">
        <v>-7.0000000000000007E-2</v>
      </c>
      <c r="E12" s="124"/>
      <c r="F12" s="124">
        <v>0.03</v>
      </c>
      <c r="G12" s="124"/>
      <c r="H12" s="124">
        <v>-0.47</v>
      </c>
      <c r="I12" s="124"/>
    </row>
    <row r="13" spans="1:9">
      <c r="A13" s="129" t="s">
        <v>147</v>
      </c>
      <c r="B13" s="233" t="e">
        <f>+B11/B$6</f>
        <v>#REF!</v>
      </c>
      <c r="C13" s="233" t="e">
        <f>Sheet!#REF!</f>
        <v>#REF!</v>
      </c>
      <c r="D13" s="138">
        <f t="shared" ref="D13:I13" si="1">+D11/D$6</f>
        <v>4.2009385189865252E-2</v>
      </c>
      <c r="E13" s="138">
        <v>4.24E-2</v>
      </c>
      <c r="F13" s="138">
        <f t="shared" si="1"/>
        <v>1.6076082371067633E-2</v>
      </c>
      <c r="G13" s="138">
        <v>-7.7000000000000002E-3</v>
      </c>
      <c r="H13" s="138">
        <f t="shared" si="1"/>
        <v>6.7998259649096901E-3</v>
      </c>
      <c r="I13" s="138">
        <f t="shared" si="1"/>
        <v>1.3815521753171368E-2</v>
      </c>
    </row>
    <row r="14" spans="1:9">
      <c r="A14" s="126" t="s">
        <v>16</v>
      </c>
      <c r="B14" s="252" t="e">
        <f>Sheet!#REF!</f>
        <v>#REF!</v>
      </c>
      <c r="C14" s="252" t="e">
        <f>Sheet!#REF!</f>
        <v>#REF!</v>
      </c>
      <c r="D14" s="118">
        <v>4.43</v>
      </c>
      <c r="E14" s="118">
        <v>3.17</v>
      </c>
      <c r="F14" s="118">
        <v>45.33</v>
      </c>
      <c r="G14" s="118">
        <v>-13.11</v>
      </c>
      <c r="H14" s="118">
        <v>3.87</v>
      </c>
      <c r="I14" s="118">
        <v>5.59</v>
      </c>
    </row>
    <row r="15" spans="1:9">
      <c r="A15" s="126"/>
      <c r="B15" s="126"/>
      <c r="C15" s="126"/>
      <c r="D15" s="126"/>
      <c r="E15" s="126"/>
      <c r="F15" s="130"/>
      <c r="G15" s="130"/>
      <c r="H15" s="130"/>
      <c r="I15" s="126"/>
    </row>
    <row r="16" spans="1:9">
      <c r="A16" s="126"/>
      <c r="B16" s="126"/>
      <c r="C16" s="126"/>
      <c r="D16" s="126"/>
      <c r="E16" s="126"/>
      <c r="F16" s="130"/>
      <c r="G16" s="130"/>
      <c r="H16" s="130"/>
      <c r="I16" s="126"/>
    </row>
    <row r="17" spans="1:9">
      <c r="A17" s="129" t="s">
        <v>146</v>
      </c>
      <c r="B17" s="129"/>
      <c r="C17" s="129"/>
      <c r="D17" s="129"/>
      <c r="E17" s="129"/>
      <c r="F17" s="129"/>
      <c r="G17" s="129"/>
      <c r="H17" s="129"/>
      <c r="I17" s="129"/>
    </row>
    <row r="18" spans="1:9" s="132" customFormat="1">
      <c r="A18" s="129" t="s">
        <v>145</v>
      </c>
      <c r="B18" s="235" t="e">
        <f>Sheet!#REF!</f>
        <v>#REF!</v>
      </c>
      <c r="C18" s="235" t="e">
        <f>Sheet!#REF!</f>
        <v>#REF!</v>
      </c>
      <c r="D18" s="137">
        <v>388.358</v>
      </c>
      <c r="E18" s="137">
        <v>419.03100000000001</v>
      </c>
      <c r="F18" s="137">
        <v>6560.2889999999998</v>
      </c>
      <c r="G18" s="137">
        <v>6411.09</v>
      </c>
      <c r="H18" s="137">
        <v>23431.1</v>
      </c>
      <c r="I18" s="137">
        <v>23248.39</v>
      </c>
    </row>
    <row r="19" spans="1:9" s="132" customFormat="1">
      <c r="A19" s="129" t="s">
        <v>77</v>
      </c>
      <c r="B19" s="254" t="e">
        <f>Sheet!#REF!</f>
        <v>#REF!</v>
      </c>
      <c r="C19" s="254" t="e">
        <f>Sheet!#REF!</f>
        <v>#REF!</v>
      </c>
      <c r="D19" s="137">
        <f t="shared" ref="D19:I19" si="2">SUM(D20:D21)</f>
        <v>63.044000000000004</v>
      </c>
      <c r="E19" s="137">
        <f t="shared" si="2"/>
        <v>80.147000000000006</v>
      </c>
      <c r="F19" s="137">
        <f t="shared" si="2"/>
        <v>762.34199999999998</v>
      </c>
      <c r="G19" s="137"/>
      <c r="H19" s="137">
        <f t="shared" si="2"/>
        <v>5156.99</v>
      </c>
      <c r="I19" s="137">
        <f t="shared" si="2"/>
        <v>6916.82</v>
      </c>
    </row>
    <row r="20" spans="1:9">
      <c r="A20" s="136" t="s">
        <v>144</v>
      </c>
      <c r="B20" s="226" t="e">
        <f>Sheet!#REF!</f>
        <v>#REF!</v>
      </c>
      <c r="C20" s="226">
        <v>0</v>
      </c>
      <c r="D20" s="118">
        <v>10.076000000000001</v>
      </c>
      <c r="E20" s="118">
        <v>8.6110000000000007</v>
      </c>
      <c r="F20" s="118">
        <f>'Peer Analysis working'!K6*10</f>
        <v>0</v>
      </c>
      <c r="G20" s="249" t="s">
        <v>203</v>
      </c>
      <c r="H20" s="118">
        <v>543.07000000000005</v>
      </c>
      <c r="I20" s="118">
        <v>332.38</v>
      </c>
    </row>
    <row r="21" spans="1:9">
      <c r="A21" s="136" t="s">
        <v>143</v>
      </c>
      <c r="B21" s="231" t="e">
        <f>Sheet!#REF!</f>
        <v>#REF!</v>
      </c>
      <c r="C21" s="231" t="e">
        <f>Sheet!#REF!</f>
        <v>#REF!</v>
      </c>
      <c r="D21" s="118">
        <v>52.968000000000004</v>
      </c>
      <c r="E21" s="118">
        <v>71.536000000000001</v>
      </c>
      <c r="F21" s="118">
        <f>'Peer Analysis working'!K7*10</f>
        <v>762.34199999999998</v>
      </c>
      <c r="G21" s="249" t="s">
        <v>203</v>
      </c>
      <c r="H21" s="118">
        <v>4613.92</v>
      </c>
      <c r="I21" s="118">
        <v>6584.44</v>
      </c>
    </row>
    <row r="22" spans="1:9">
      <c r="A22" s="126"/>
      <c r="B22" s="126"/>
      <c r="C22" s="126"/>
      <c r="D22" s="126"/>
      <c r="E22" s="126"/>
      <c r="F22" s="130"/>
      <c r="G22" s="130"/>
      <c r="H22" s="130"/>
      <c r="I22" s="126"/>
    </row>
    <row r="23" spans="1:9">
      <c r="A23" s="129" t="s">
        <v>142</v>
      </c>
      <c r="B23" s="129"/>
      <c r="C23" s="129"/>
      <c r="D23" s="129"/>
      <c r="E23" s="129"/>
      <c r="F23" s="129"/>
      <c r="G23" s="129"/>
      <c r="H23" s="129"/>
      <c r="I23" s="129"/>
    </row>
    <row r="24" spans="1:9">
      <c r="A24" s="126" t="s">
        <v>141</v>
      </c>
      <c r="B24" s="258" t="e">
        <f>Sheet!#REF!</f>
        <v>#REF!</v>
      </c>
      <c r="C24" s="266" t="e">
        <f>Sheet!#REF!</f>
        <v>#REF!</v>
      </c>
      <c r="D24" s="126">
        <v>-14.66</v>
      </c>
      <c r="E24" s="126">
        <v>-11.01</v>
      </c>
      <c r="F24" s="126">
        <v>3033.2739999999999</v>
      </c>
      <c r="G24" s="126">
        <v>614.529</v>
      </c>
      <c r="H24" s="126">
        <v>7153.6</v>
      </c>
      <c r="I24" s="126">
        <v>2684.5</v>
      </c>
    </row>
    <row r="25" spans="1:9">
      <c r="A25" s="126" t="s">
        <v>29</v>
      </c>
      <c r="B25" s="259" t="e">
        <f>Sheet!#REF!</f>
        <v>#REF!</v>
      </c>
      <c r="C25" s="262" t="e">
        <f>Sheet!#REF!</f>
        <v>#REF!</v>
      </c>
      <c r="D25" s="126">
        <v>-13.1</v>
      </c>
      <c r="E25" s="126">
        <v>-10.62</v>
      </c>
      <c r="F25" s="126">
        <v>2910.6</v>
      </c>
      <c r="G25" s="126">
        <v>-888.72</v>
      </c>
      <c r="H25" s="126">
        <v>6089.58</v>
      </c>
      <c r="I25" s="126">
        <v>-456.89</v>
      </c>
    </row>
    <row r="26" spans="1:9" s="86" customFormat="1">
      <c r="A26" s="106"/>
      <c r="B26" s="106"/>
      <c r="C26" s="106"/>
      <c r="D26" s="106"/>
      <c r="E26" s="106"/>
      <c r="F26" s="135"/>
      <c r="G26" s="135"/>
      <c r="H26" s="135"/>
      <c r="I26" s="135"/>
    </row>
    <row r="27" spans="1:9" s="86" customFormat="1">
      <c r="A27" s="106" t="s">
        <v>73</v>
      </c>
      <c r="B27" s="263" t="e">
        <f>'Peer Analysis working'!I26</f>
        <v>#REF!</v>
      </c>
      <c r="C27" s="263" t="e">
        <f>Sheet!#REF!</f>
        <v>#REF!</v>
      </c>
      <c r="D27" s="134">
        <v>9687200</v>
      </c>
      <c r="E27" s="134">
        <v>9687200</v>
      </c>
      <c r="F27" s="134">
        <v>17096769</v>
      </c>
      <c r="G27" s="134">
        <v>17096769</v>
      </c>
      <c r="H27" s="250">
        <v>147785093</v>
      </c>
      <c r="I27" s="134">
        <v>147785093</v>
      </c>
    </row>
    <row r="28" spans="1:9" s="132" customFormat="1">
      <c r="A28" s="129" t="s">
        <v>74</v>
      </c>
      <c r="B28" s="264" t="e">
        <f>Sheet!#REF!</f>
        <v>#REF!</v>
      </c>
      <c r="C28" s="264" t="e">
        <f>Sheet!#REF!</f>
        <v>#REF!</v>
      </c>
      <c r="D28" s="133">
        <v>505</v>
      </c>
      <c r="E28" s="133">
        <f>(E27*E37)/1000000</f>
        <v>432.53348</v>
      </c>
      <c r="F28" s="133">
        <v>65440</v>
      </c>
      <c r="G28" s="133">
        <f>(G27*G37)/1000000</f>
        <v>76741.412171849996</v>
      </c>
      <c r="H28" s="133">
        <v>135250</v>
      </c>
      <c r="I28" s="133">
        <f>(I27*I37)/1000000</f>
        <v>135400.70220659999</v>
      </c>
    </row>
    <row r="29" spans="1:9" s="132" customFormat="1">
      <c r="A29" s="129" t="s">
        <v>140</v>
      </c>
      <c r="B29" s="260" t="e">
        <f>Sheet!#REF!</f>
        <v>#REF!</v>
      </c>
      <c r="C29" s="264" t="e">
        <f>Sheet!#REF!</f>
        <v>#REF!</v>
      </c>
      <c r="D29" s="133">
        <v>566</v>
      </c>
      <c r="E29" s="133">
        <v>492.46</v>
      </c>
      <c r="F29" s="133">
        <v>62570</v>
      </c>
      <c r="G29" s="133">
        <v>75227.61</v>
      </c>
      <c r="H29" s="133">
        <v>139730</v>
      </c>
      <c r="I29" s="133">
        <v>139151.38</v>
      </c>
    </row>
    <row r="30" spans="1:9">
      <c r="A30" s="126"/>
      <c r="B30" s="126"/>
      <c r="C30" s="126"/>
      <c r="D30" s="126"/>
      <c r="E30" s="126"/>
      <c r="F30" s="130"/>
      <c r="G30" s="130"/>
      <c r="H30" s="126"/>
      <c r="I30" s="126"/>
    </row>
    <row r="31" spans="1:9">
      <c r="A31" s="126" t="s">
        <v>139</v>
      </c>
      <c r="B31" s="232" t="e">
        <f>Sheet!#REF!</f>
        <v>#REF!</v>
      </c>
      <c r="C31" s="232" t="e">
        <f>Sheet!#REF!</f>
        <v>#REF!</v>
      </c>
      <c r="D31" s="128">
        <v>10.9</v>
      </c>
      <c r="E31" s="128">
        <v>14.08</v>
      </c>
      <c r="F31" s="128">
        <v>338</v>
      </c>
      <c r="G31" s="128">
        <v>342.38</v>
      </c>
      <c r="H31" s="128">
        <v>238</v>
      </c>
      <c r="I31" s="128">
        <v>163.89</v>
      </c>
    </row>
    <row r="32" spans="1:9">
      <c r="A32" s="126" t="s">
        <v>62</v>
      </c>
      <c r="B32" s="255" t="e">
        <f>Sheet!#REF!</f>
        <v>#REF!</v>
      </c>
      <c r="C32" s="255" t="e">
        <f>Sheet!#REF!</f>
        <v>#REF!</v>
      </c>
      <c r="D32" s="131">
        <v>0</v>
      </c>
      <c r="E32" s="131">
        <v>0</v>
      </c>
      <c r="F32" s="131">
        <v>0</v>
      </c>
      <c r="G32" s="131">
        <v>0</v>
      </c>
      <c r="H32" s="131">
        <v>7.6E-3</v>
      </c>
      <c r="I32" s="131">
        <v>8.3000000000000001E-3</v>
      </c>
    </row>
    <row r="33" spans="1:9">
      <c r="A33" s="126" t="s">
        <v>138</v>
      </c>
      <c r="B33" s="232" t="e">
        <f>Sheet!#REF!</f>
        <v>#REF!</v>
      </c>
      <c r="C33" s="232" t="e">
        <f>Sheet!#REF!</f>
        <v>#REF!</v>
      </c>
      <c r="D33" s="128">
        <v>1.2</v>
      </c>
      <c r="E33" s="128">
        <f>E37/E39</f>
        <v>1.1093167701863353</v>
      </c>
      <c r="F33" s="128">
        <v>10.4</v>
      </c>
      <c r="G33" s="128">
        <f>G37/G39</f>
        <v>11.697722297508598</v>
      </c>
      <c r="H33" s="128">
        <v>5.82</v>
      </c>
      <c r="I33" s="128">
        <f>I37/I39</f>
        <v>5.6174126302881673</v>
      </c>
    </row>
    <row r="34" spans="1:9">
      <c r="A34" s="126" t="s">
        <v>137</v>
      </c>
      <c r="B34" s="232" t="e">
        <f>Sheet!#REF!</f>
        <v>#REF!</v>
      </c>
      <c r="C34" s="265" t="e">
        <f>Sheet!#REF!</f>
        <v>#REF!</v>
      </c>
      <c r="D34" s="128">
        <v>10.3</v>
      </c>
      <c r="E34" s="128">
        <f>E29/E8</f>
        <v>12.669410856701827</v>
      </c>
      <c r="F34" s="128">
        <v>43.7</v>
      </c>
      <c r="G34" s="128">
        <f>G29/G8</f>
        <v>118.16071498692385</v>
      </c>
      <c r="H34" s="128">
        <v>29.6</v>
      </c>
      <c r="I34" s="128">
        <f>I29/I8</f>
        <v>53.684945987654324</v>
      </c>
    </row>
    <row r="35" spans="1:9">
      <c r="A35" s="126"/>
      <c r="B35" s="126"/>
      <c r="C35" s="126"/>
      <c r="D35" s="126"/>
      <c r="E35" s="126"/>
      <c r="F35" s="130"/>
      <c r="G35" s="130"/>
      <c r="H35" s="130"/>
      <c r="I35" s="126"/>
    </row>
    <row r="36" spans="1:9">
      <c r="A36" s="129" t="s">
        <v>136</v>
      </c>
      <c r="B36" s="129"/>
      <c r="C36" s="129"/>
      <c r="D36" s="129"/>
      <c r="E36" s="129"/>
      <c r="F36" s="129"/>
      <c r="G36" s="129"/>
      <c r="H36" s="129"/>
      <c r="I36" s="129"/>
    </row>
    <row r="37" spans="1:9">
      <c r="A37" s="129" t="s">
        <v>207</v>
      </c>
      <c r="B37" s="252" t="e">
        <f>Sheet!#REF!</f>
        <v>#REF!</v>
      </c>
      <c r="C37" s="252" t="e">
        <f>Sheet!#REF!</f>
        <v>#REF!</v>
      </c>
      <c r="D37" s="118">
        <v>34.15</v>
      </c>
      <c r="E37" s="118">
        <v>44.65</v>
      </c>
      <c r="F37" s="118">
        <v>3771.65</v>
      </c>
      <c r="G37" s="118">
        <v>4488.6499999999996</v>
      </c>
      <c r="H37" s="118">
        <v>698.8</v>
      </c>
      <c r="I37" s="118">
        <v>916.2</v>
      </c>
    </row>
    <row r="38" spans="1:9">
      <c r="A38" s="126" t="s">
        <v>152</v>
      </c>
      <c r="B38" s="252" t="e">
        <f>B18</f>
        <v>#REF!</v>
      </c>
      <c r="C38" s="252" t="e">
        <f>C18</f>
        <v>#REF!</v>
      </c>
      <c r="D38" s="118">
        <f t="shared" ref="D38:I38" si="3">(D39*D27)/1000000</f>
        <v>421.39319999999998</v>
      </c>
      <c r="E38" s="118">
        <f t="shared" si="3"/>
        <v>389.90980000000002</v>
      </c>
      <c r="F38" s="118">
        <f t="shared" si="3"/>
        <v>6291.6109919999999</v>
      </c>
      <c r="G38" s="118">
        <f t="shared" si="3"/>
        <v>6560.3722006799999</v>
      </c>
      <c r="H38" s="118">
        <f t="shared" si="3"/>
        <v>23202.259601000002</v>
      </c>
      <c r="I38" s="118">
        <f t="shared" si="3"/>
        <v>24103.748668299999</v>
      </c>
    </row>
    <row r="39" spans="1:9">
      <c r="A39" s="126" t="s">
        <v>135</v>
      </c>
      <c r="B39" s="252" t="e">
        <f>Sheet!#REF!</f>
        <v>#REF!</v>
      </c>
      <c r="C39" s="252" t="e">
        <f>Sheet!#REF!</f>
        <v>#REF!</v>
      </c>
      <c r="D39" s="118">
        <v>43.5</v>
      </c>
      <c r="E39" s="118">
        <v>40.25</v>
      </c>
      <c r="F39" s="118">
        <v>368</v>
      </c>
      <c r="G39" s="118">
        <v>383.72</v>
      </c>
      <c r="H39" s="118">
        <v>157</v>
      </c>
      <c r="I39" s="118">
        <v>163.1</v>
      </c>
    </row>
    <row r="40" spans="1:9">
      <c r="A40" s="126" t="s">
        <v>134</v>
      </c>
      <c r="B40" s="108" t="e">
        <f>Sheet!#REF!</f>
        <v>#REF!</v>
      </c>
      <c r="C40" s="125" t="e">
        <f>Sheet!#REF!</f>
        <v>#REF!</v>
      </c>
      <c r="D40" s="125">
        <v>0.127</v>
      </c>
      <c r="E40" s="125"/>
      <c r="F40" s="125">
        <v>0.13</v>
      </c>
      <c r="G40" s="125"/>
      <c r="H40" s="125">
        <v>2.0199999999999999E-2</v>
      </c>
      <c r="I40" s="125"/>
    </row>
    <row r="41" spans="1:9">
      <c r="A41" s="126" t="s">
        <v>133</v>
      </c>
      <c r="B41" s="108" t="e">
        <f>Sheet!#REF!</f>
        <v>#REF!</v>
      </c>
      <c r="C41" s="125" t="e">
        <f>Sheet!#REF!</f>
        <v>#REF!</v>
      </c>
      <c r="D41" s="125">
        <v>0.11600000000000001</v>
      </c>
      <c r="E41" s="125"/>
      <c r="F41" s="125">
        <v>0.14299999999999999</v>
      </c>
      <c r="G41" s="125"/>
      <c r="H41" s="125">
        <v>7.7200000000000005E-2</v>
      </c>
      <c r="I41" s="125"/>
    </row>
    <row r="42" spans="1:9">
      <c r="A42" s="126" t="s">
        <v>132</v>
      </c>
      <c r="B42" s="227" t="e">
        <f>'Peer Analysis working'!I39</f>
        <v>#REF!</v>
      </c>
      <c r="C42" s="227"/>
      <c r="D42" s="128">
        <v>107</v>
      </c>
      <c r="E42" s="128"/>
      <c r="F42" s="128">
        <v>19.14</v>
      </c>
      <c r="G42" s="128"/>
      <c r="H42" s="128">
        <v>7.2</v>
      </c>
      <c r="I42" s="128"/>
    </row>
    <row r="43" spans="1:9">
      <c r="A43" s="126" t="s">
        <v>131</v>
      </c>
      <c r="B43" s="256" t="e">
        <f>Sheet!#REF!</f>
        <v>#REF!</v>
      </c>
      <c r="C43" s="228" t="e">
        <f>Sheet!#REF!</f>
        <v>#REF!</v>
      </c>
      <c r="D43" s="127">
        <v>84.8</v>
      </c>
      <c r="E43" s="127"/>
      <c r="F43" s="127">
        <v>20.8</v>
      </c>
      <c r="G43" s="127"/>
      <c r="H43" s="127">
        <v>30.1</v>
      </c>
      <c r="I43" s="127"/>
    </row>
    <row r="44" spans="1:9">
      <c r="A44" s="126" t="s">
        <v>65</v>
      </c>
      <c r="B44" s="268" t="e">
        <f>Sheet!#REF!</f>
        <v>#REF!</v>
      </c>
      <c r="C44" s="268" t="s">
        <v>203</v>
      </c>
      <c r="D44" s="251" t="s">
        <v>203</v>
      </c>
      <c r="E44" s="127"/>
      <c r="F44" s="251" t="s">
        <v>203</v>
      </c>
      <c r="G44" s="127"/>
      <c r="H44" s="251" t="s">
        <v>203</v>
      </c>
      <c r="I44" s="127"/>
    </row>
    <row r="45" spans="1:9">
      <c r="A45" s="126" t="s">
        <v>130</v>
      </c>
      <c r="B45" s="228" t="e">
        <f>Sheet!#REF!</f>
        <v>#REF!</v>
      </c>
      <c r="C45" s="228" t="e">
        <f>Sheet!#REF!</f>
        <v>#REF!</v>
      </c>
      <c r="D45" s="251" t="s">
        <v>203</v>
      </c>
      <c r="E45" s="127"/>
      <c r="F45" s="251" t="s">
        <v>203</v>
      </c>
      <c r="G45" s="127"/>
      <c r="H45" s="251" t="s">
        <v>203</v>
      </c>
      <c r="I45" s="127"/>
    </row>
    <row r="46" spans="1:9">
      <c r="A46" s="126" t="s">
        <v>129</v>
      </c>
      <c r="B46" s="256" t="e">
        <f>Sheet!#REF!</f>
        <v>#REF!</v>
      </c>
      <c r="C46" s="228" t="e">
        <f>Sheet!#REF!</f>
        <v>#REF!</v>
      </c>
      <c r="D46" s="127">
        <v>84.8</v>
      </c>
      <c r="E46" s="127"/>
      <c r="F46" s="127">
        <v>20.8</v>
      </c>
      <c r="G46" s="127"/>
      <c r="H46" s="127">
        <v>30.1</v>
      </c>
      <c r="I46" s="127"/>
    </row>
    <row r="47" spans="1:9">
      <c r="A47" s="126" t="s">
        <v>66</v>
      </c>
      <c r="B47" s="257" t="e">
        <f>Sheet!#REF!</f>
        <v>#REF!</v>
      </c>
      <c r="C47" s="228" t="e">
        <f>Sheet!#REF!</f>
        <v>#REF!</v>
      </c>
      <c r="D47" s="127">
        <v>136</v>
      </c>
      <c r="E47" s="127"/>
      <c r="F47" s="127">
        <v>-4.07</v>
      </c>
      <c r="G47" s="127"/>
      <c r="H47" s="127">
        <v>30</v>
      </c>
      <c r="I47" s="127"/>
    </row>
    <row r="48" spans="1:9">
      <c r="A48" s="126" t="s">
        <v>128</v>
      </c>
      <c r="B48" s="232" t="e">
        <f>Sheet!#REF!</f>
        <v>#REF!</v>
      </c>
      <c r="C48" s="232" t="e">
        <f>Sheet!#REF!</f>
        <v>#REF!</v>
      </c>
      <c r="D48" s="128">
        <v>0.19</v>
      </c>
      <c r="E48" s="128">
        <v>0.19</v>
      </c>
      <c r="F48" s="128">
        <v>0.06</v>
      </c>
      <c r="G48" s="261" t="s">
        <v>203</v>
      </c>
      <c r="H48" s="128">
        <v>0.4</v>
      </c>
      <c r="I48" s="128">
        <v>0.28999999999999998</v>
      </c>
    </row>
    <row r="49" spans="1:9">
      <c r="A49" s="126" t="s">
        <v>127</v>
      </c>
      <c r="B49" s="232" t="e">
        <f>Sheet!#REF!</f>
        <v>#REF!</v>
      </c>
      <c r="C49" s="232" t="e">
        <f>Sheet!#REF!</f>
        <v>#REF!</v>
      </c>
      <c r="D49" s="128">
        <v>0.19</v>
      </c>
      <c r="E49" s="128">
        <v>0.14000000000000001</v>
      </c>
      <c r="F49" s="128">
        <v>0.06</v>
      </c>
      <c r="G49" s="261" t="s">
        <v>203</v>
      </c>
      <c r="H49" s="128">
        <v>0.4</v>
      </c>
      <c r="I49" s="128">
        <v>0.12</v>
      </c>
    </row>
    <row r="50" spans="1:9">
      <c r="A50" s="126" t="s">
        <v>109</v>
      </c>
      <c r="B50" s="252" t="e">
        <f>Sheet!#REF!</f>
        <v>#REF!</v>
      </c>
      <c r="C50" s="252" t="e">
        <f>Sheet!#REF!</f>
        <v>#REF!</v>
      </c>
      <c r="D50" s="118">
        <v>4.07</v>
      </c>
      <c r="E50" s="118">
        <v>6.35</v>
      </c>
      <c r="F50" s="118">
        <v>22.9</v>
      </c>
      <c r="G50" s="118">
        <v>29.47</v>
      </c>
      <c r="H50" s="118">
        <v>3.19</v>
      </c>
      <c r="I50" s="118">
        <v>6.27</v>
      </c>
    </row>
    <row r="51" spans="1:9">
      <c r="A51" s="126" t="s">
        <v>126</v>
      </c>
      <c r="B51" s="108" t="e">
        <f>Sheet!#REF!</f>
        <v>#REF!</v>
      </c>
      <c r="C51" s="267" t="e">
        <f>Sheet!#REF!</f>
        <v>#REF!</v>
      </c>
      <c r="D51" s="125">
        <v>0.125</v>
      </c>
      <c r="E51" s="125">
        <v>6.1400000000000003E-2</v>
      </c>
      <c r="F51" s="125">
        <v>0.30399999999999999</v>
      </c>
      <c r="G51" s="125">
        <v>-8.8900000000000007E-2</v>
      </c>
      <c r="H51" s="125">
        <v>2.7799999999999998E-2</v>
      </c>
      <c r="I51" s="125">
        <v>4.3900000000000002E-2</v>
      </c>
    </row>
  </sheetData>
  <mergeCells count="2">
    <mergeCell ref="A1:I1"/>
    <mergeCell ref="A2:A3"/>
  </mergeCells>
  <printOptions horizontalCentered="1"/>
  <pageMargins left="0.39370078740157483" right="0.39370078740157483" top="0.39370078740157483" bottom="0.39370078740157483" header="0.31496062992125984" footer="0.31496062992125984"/>
  <pageSetup paperSize="9" scale="67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3</vt:i4>
      </vt:variant>
    </vt:vector>
  </HeadingPairs>
  <TitlesOfParts>
    <vt:vector size="7" baseType="lpstr">
      <vt:lpstr>Standalone</vt:lpstr>
      <vt:lpstr>Sheet</vt:lpstr>
      <vt:lpstr>Peer Analysis working</vt:lpstr>
      <vt:lpstr>Peer Analysis Final</vt:lpstr>
      <vt:lpstr>'Peer Analysis Final'!Print_Area</vt:lpstr>
      <vt:lpstr>Sheet!Print_Area</vt:lpstr>
      <vt:lpstr>Standalone!Print_Area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Voleram3</dc:creator>
  <cp:lastModifiedBy>DELL</cp:lastModifiedBy>
  <cp:lastPrinted>2021-02-17T05:19:03Z</cp:lastPrinted>
  <dcterms:created xsi:type="dcterms:W3CDTF">2017-09-19T08:05:47Z</dcterms:created>
  <dcterms:modified xsi:type="dcterms:W3CDTF">2026-08-25T10:21:26Z</dcterms:modified>
</cp:coreProperties>
</file>