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7410D38-E358-4FDF-9495-18C88109C070}" xr6:coauthVersionLast="47" xr6:coauthVersionMax="47" xr10:uidLastSave="{00000000-0000-0000-0000-000000000000}"/>
  <bookViews>
    <workbookView xWindow="-120" yWindow="-120" windowWidth="20640" windowHeight="11160" xr2:uid="{A3315D04-9FE2-4853-A050-959A06B61057}"/>
  </bookViews>
  <sheets>
    <sheet name="Consolidate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H58" i="1"/>
  <c r="H61" i="1"/>
  <c r="G60" i="1"/>
  <c r="G59" i="1"/>
  <c r="C61" i="1"/>
  <c r="D61" i="1"/>
  <c r="E61" i="1"/>
  <c r="F61" i="1"/>
  <c r="G61" i="1"/>
  <c r="P26" i="1"/>
  <c r="G58" i="1"/>
  <c r="F46" i="1"/>
  <c r="G44" i="1"/>
  <c r="G37" i="1"/>
  <c r="F37" i="1"/>
  <c r="L51" i="1"/>
  <c r="L33" i="1"/>
  <c r="P68" i="1"/>
  <c r="P69" i="1"/>
  <c r="M62" i="1"/>
  <c r="N62" i="1"/>
  <c r="O62" i="1"/>
  <c r="P62" i="1"/>
  <c r="L62" i="1"/>
  <c r="P66" i="1" l="1"/>
  <c r="O65" i="1"/>
  <c r="L63" i="1"/>
  <c r="N59" i="1"/>
  <c r="L59" i="1"/>
  <c r="P57" i="1"/>
  <c r="P60" i="1" s="1"/>
  <c r="M56" i="1"/>
  <c r="M59" i="1" s="1"/>
  <c r="N56" i="1"/>
  <c r="O56" i="1"/>
  <c r="O59" i="1" s="1"/>
  <c r="P56" i="1"/>
  <c r="P59" i="1" s="1"/>
  <c r="Q56" i="1"/>
  <c r="Q59" i="1" s="1"/>
  <c r="L56" i="1"/>
  <c r="D58" i="1"/>
  <c r="E58" i="1"/>
  <c r="F58" i="1"/>
  <c r="C58" i="1"/>
  <c r="E59" i="1"/>
  <c r="C59" i="1"/>
  <c r="D59" i="1"/>
  <c r="F59" i="1"/>
  <c r="F51" i="1"/>
  <c r="D50" i="1"/>
  <c r="D52" i="1" s="1"/>
  <c r="E50" i="1"/>
  <c r="E52" i="1" s="1"/>
  <c r="F50" i="1"/>
  <c r="G50" i="1"/>
  <c r="G52" i="1" s="1"/>
  <c r="C50" i="1"/>
  <c r="C52" i="1" s="1"/>
  <c r="D44" i="1"/>
  <c r="D46" i="1" s="1"/>
  <c r="E44" i="1"/>
  <c r="E46" i="1" s="1"/>
  <c r="F44" i="1"/>
  <c r="G46" i="1"/>
  <c r="C44" i="1"/>
  <c r="C46" i="1" s="1"/>
  <c r="N44" i="1"/>
  <c r="N50" i="1" s="1"/>
  <c r="M44" i="1"/>
  <c r="M50" i="1" s="1"/>
  <c r="L44" i="1"/>
  <c r="L50" i="1" s="1"/>
  <c r="L66" i="1"/>
  <c r="O26" i="1"/>
  <c r="N26" i="1"/>
  <c r="M26" i="1"/>
  <c r="L26" i="1"/>
  <c r="P44" i="1"/>
  <c r="P50" i="1" s="1"/>
  <c r="O44" i="1"/>
  <c r="O50" i="1" s="1"/>
  <c r="P40" i="1"/>
  <c r="N40" i="1"/>
  <c r="M40" i="1"/>
  <c r="L40" i="1"/>
  <c r="O40" i="1"/>
  <c r="P33" i="1"/>
  <c r="P65" i="1" s="1"/>
  <c r="N33" i="1"/>
  <c r="N63" i="1" s="1"/>
  <c r="M33" i="1"/>
  <c r="M66" i="1" s="1"/>
  <c r="O33" i="1"/>
  <c r="P15" i="1"/>
  <c r="N15" i="1"/>
  <c r="M15" i="1"/>
  <c r="L15" i="1"/>
  <c r="O15" i="1"/>
  <c r="E37" i="1"/>
  <c r="E36" i="1"/>
  <c r="F36" i="1"/>
  <c r="G36" i="1"/>
  <c r="D36" i="1"/>
  <c r="O57" i="1" l="1"/>
  <c r="O60" i="1" s="1"/>
  <c r="N65" i="1"/>
  <c r="O66" i="1"/>
  <c r="M63" i="1"/>
  <c r="N57" i="1"/>
  <c r="N60" i="1" s="1"/>
  <c r="L65" i="1"/>
  <c r="M65" i="1"/>
  <c r="N66" i="1"/>
  <c r="L57" i="1"/>
  <c r="L60" i="1" s="1"/>
  <c r="M57" i="1"/>
  <c r="M60" i="1" s="1"/>
  <c r="F52" i="1"/>
  <c r="N27" i="1"/>
  <c r="P51" i="1"/>
  <c r="N51" i="1"/>
  <c r="O51" i="1"/>
  <c r="M51" i="1"/>
  <c r="O27" i="1"/>
  <c r="P27" i="1"/>
  <c r="M27" i="1"/>
  <c r="L27" i="1"/>
  <c r="F6" i="1" l="1"/>
  <c r="E6" i="1"/>
  <c r="G6" i="1"/>
  <c r="E5" i="1"/>
  <c r="F5" i="1"/>
  <c r="G5" i="1"/>
  <c r="D5" i="1"/>
  <c r="E23" i="1" l="1"/>
  <c r="G23" i="1"/>
  <c r="G18" i="1"/>
  <c r="F13" i="1"/>
  <c r="O61" i="1" s="1"/>
  <c r="E13" i="1"/>
  <c r="N61" i="1" s="1"/>
  <c r="D13" i="1"/>
  <c r="M61" i="1" s="1"/>
  <c r="C13" i="1"/>
  <c r="L61" i="1" s="1"/>
  <c r="G11" i="1"/>
  <c r="G13" i="1" s="1"/>
  <c r="P61" i="1" s="1"/>
  <c r="H11" i="1"/>
  <c r="H13" i="1" s="1"/>
  <c r="H20" i="1" s="1"/>
  <c r="H22" i="1" s="1"/>
  <c r="C14" i="1" l="1"/>
  <c r="E16" i="1"/>
  <c r="G15" i="1"/>
  <c r="G14" i="1"/>
  <c r="H24" i="1"/>
  <c r="H25" i="1"/>
  <c r="H30" i="1" s="1"/>
  <c r="E20" i="1"/>
  <c r="E15" i="1"/>
  <c r="G16" i="1"/>
  <c r="G20" i="1"/>
  <c r="F20" i="1"/>
  <c r="F15" i="1"/>
  <c r="D14" i="1"/>
  <c r="F16" i="1"/>
  <c r="D15" i="1"/>
  <c r="C20" i="1"/>
  <c r="D20" i="1"/>
  <c r="E14" i="1"/>
  <c r="F14" i="1"/>
  <c r="H14" i="1"/>
  <c r="C22" i="1" l="1"/>
  <c r="L64" i="1"/>
  <c r="F22" i="1"/>
  <c r="O64" i="1"/>
  <c r="E22" i="1"/>
  <c r="E25" i="1" s="1"/>
  <c r="E26" i="1" s="1"/>
  <c r="N64" i="1"/>
  <c r="G22" i="1"/>
  <c r="G25" i="1" s="1"/>
  <c r="P64" i="1"/>
  <c r="D22" i="1"/>
  <c r="M64" i="1"/>
  <c r="E30" i="1"/>
  <c r="E24" i="1"/>
  <c r="C25" i="1"/>
  <c r="C24" i="1"/>
  <c r="F24" i="1"/>
  <c r="F25" i="1"/>
  <c r="G30" i="1"/>
  <c r="G32" i="1" s="1"/>
  <c r="D25" i="1"/>
  <c r="D26" i="1" s="1"/>
  <c r="D24" i="1"/>
  <c r="G28" i="1"/>
  <c r="C26" i="1"/>
  <c r="H26" i="1"/>
  <c r="G26" i="1" l="1"/>
  <c r="P63" i="1"/>
  <c r="F30" i="1"/>
  <c r="F31" i="1" s="1"/>
  <c r="O63" i="1"/>
  <c r="G24" i="1"/>
  <c r="F27" i="1"/>
  <c r="F26" i="1"/>
  <c r="G27" i="1"/>
  <c r="D30" i="1"/>
  <c r="D27" i="1"/>
  <c r="F28" i="1"/>
  <c r="E27" i="1"/>
  <c r="C30" i="1"/>
  <c r="E32" i="1" s="1"/>
  <c r="E28" i="1"/>
  <c r="G31" i="1" l="1"/>
  <c r="D31" i="1"/>
  <c r="F32" i="1"/>
  <c r="E31" i="1"/>
</calcChain>
</file>

<file path=xl/sharedStrings.xml><?xml version="1.0" encoding="utf-8"?>
<sst xmlns="http://schemas.openxmlformats.org/spreadsheetml/2006/main" count="204" uniqueCount="114">
  <si>
    <t xml:space="preserve">Income Statement </t>
  </si>
  <si>
    <t>March Year Ended (INR Mn)</t>
  </si>
  <si>
    <t>FY23</t>
  </si>
  <si>
    <t>FY24</t>
  </si>
  <si>
    <t>FY25</t>
  </si>
  <si>
    <t>FY26</t>
  </si>
  <si>
    <t>Q1 FY27</t>
  </si>
  <si>
    <t>Revenue from Operations</t>
  </si>
  <si>
    <t>Growth (%)</t>
  </si>
  <si>
    <t>Expenses</t>
  </si>
  <si>
    <t>Cost of Materials Consumed</t>
  </si>
  <si>
    <t>Purchase of Stock in trade</t>
  </si>
  <si>
    <t>Changes in inventories of finished goods, Stock in trade and work-in-progress</t>
  </si>
  <si>
    <t>Employee Benefit Expenses</t>
  </si>
  <si>
    <t>Depreciation &amp; Amortization</t>
  </si>
  <si>
    <t>Other Expenses</t>
  </si>
  <si>
    <t>EBITDA</t>
  </si>
  <si>
    <t>EBITDA Margin (%)</t>
  </si>
  <si>
    <t xml:space="preserve">Other Income </t>
  </si>
  <si>
    <t>Finance Costs</t>
  </si>
  <si>
    <t>PBT</t>
  </si>
  <si>
    <t>FY22</t>
  </si>
  <si>
    <t>Tax</t>
  </si>
  <si>
    <t>PBT before Exceptional Items</t>
  </si>
  <si>
    <t>Exceptional Items</t>
  </si>
  <si>
    <t>Effective Tax Rate (%)</t>
  </si>
  <si>
    <t>Net Profit /(Loss) for the Year</t>
  </si>
  <si>
    <t>PAT Margin (%)</t>
  </si>
  <si>
    <t xml:space="preserve">Other Comprehensive Income </t>
  </si>
  <si>
    <t xml:space="preserve">Total Comprehensive Income </t>
  </si>
  <si>
    <t>EPS</t>
  </si>
  <si>
    <t>Basic</t>
  </si>
  <si>
    <t>Diluted</t>
  </si>
  <si>
    <t>NA</t>
  </si>
  <si>
    <t>CAGR (%) - 3 Years</t>
  </si>
  <si>
    <t>Balance Sheet</t>
  </si>
  <si>
    <t>Assets</t>
  </si>
  <si>
    <t>Non Current Assets</t>
  </si>
  <si>
    <t xml:space="preserve">Property, Plant &amp; Equipment </t>
  </si>
  <si>
    <t>Capital Work-in-progress</t>
  </si>
  <si>
    <t>Right-of-use Assets</t>
  </si>
  <si>
    <t xml:space="preserve">Intangible Assets </t>
  </si>
  <si>
    <t>Goodwill on Consolidation</t>
  </si>
  <si>
    <t xml:space="preserve">Financial Assets </t>
  </si>
  <si>
    <t xml:space="preserve">Investments </t>
  </si>
  <si>
    <t>Other Financial Assets</t>
  </si>
  <si>
    <t>Other Non Current Assets</t>
  </si>
  <si>
    <t xml:space="preserve">Total Non Current Assets </t>
  </si>
  <si>
    <t xml:space="preserve">Current Assets </t>
  </si>
  <si>
    <t>Inventories</t>
  </si>
  <si>
    <t>Inventories - Real Estate</t>
  </si>
  <si>
    <t>Trade Receivables</t>
  </si>
  <si>
    <t xml:space="preserve">Cash &amp; Cash Equivalents </t>
  </si>
  <si>
    <t>Loans</t>
  </si>
  <si>
    <t xml:space="preserve">Other Financial Assets </t>
  </si>
  <si>
    <t xml:space="preserve">Other Current Assets </t>
  </si>
  <si>
    <t xml:space="preserve">Assets Held for Sale </t>
  </si>
  <si>
    <t xml:space="preserve">Total Current Assets </t>
  </si>
  <si>
    <t xml:space="preserve">Total Assets </t>
  </si>
  <si>
    <t>Equity &amp; Liabilities</t>
  </si>
  <si>
    <t>Equity</t>
  </si>
  <si>
    <t>Equity Share Capital</t>
  </si>
  <si>
    <t>Other Equity</t>
  </si>
  <si>
    <t>Non-Controlling Interest</t>
  </si>
  <si>
    <t>Total Equity</t>
  </si>
  <si>
    <t>Financial Liabilities</t>
  </si>
  <si>
    <t>Borrowings</t>
  </si>
  <si>
    <t>Trade Payables</t>
  </si>
  <si>
    <t>Lease Liabilities</t>
  </si>
  <si>
    <t>Other Financial Liabilities</t>
  </si>
  <si>
    <t>Other Current Liabilities</t>
  </si>
  <si>
    <t xml:space="preserve">Provisions </t>
  </si>
  <si>
    <t>Non Current Liabilities</t>
  </si>
  <si>
    <t>Current Liabilities</t>
  </si>
  <si>
    <t xml:space="preserve">Borrowings </t>
  </si>
  <si>
    <t>Provisions</t>
  </si>
  <si>
    <t>Other Non Current Liabilities</t>
  </si>
  <si>
    <t xml:space="preserve">Total Equity &amp; Liability </t>
  </si>
  <si>
    <t xml:space="preserve">Total Current Liabilities </t>
  </si>
  <si>
    <t>Total Non Current Liabilities</t>
  </si>
  <si>
    <t xml:space="preserve">Liabilities Held for Sale </t>
  </si>
  <si>
    <t xml:space="preserve">Cash Flow Statement </t>
  </si>
  <si>
    <t>Cash Flow from Operating Activities</t>
  </si>
  <si>
    <t>Cash Flow from Financing Activities</t>
  </si>
  <si>
    <t>Cash Flow from Investing Activities</t>
  </si>
  <si>
    <t>Net Increase/(Decrease) in Cash &amp; Cash Equivalents</t>
  </si>
  <si>
    <t>Cash &amp; Cash Equivalents at the Beginning of the Year</t>
  </si>
  <si>
    <t xml:space="preserve">Free Cash Flow </t>
  </si>
  <si>
    <t>Operating Cash Flow</t>
  </si>
  <si>
    <t>Capital Expenditure</t>
  </si>
  <si>
    <t>Enterprise Value</t>
  </si>
  <si>
    <t>No. of Shares (in Mn)</t>
  </si>
  <si>
    <t>Face Value per share (INR)</t>
  </si>
  <si>
    <t>Market Cap (INR Mn)</t>
  </si>
  <si>
    <t>Total Debt</t>
  </si>
  <si>
    <t>Cash</t>
  </si>
  <si>
    <t>`</t>
  </si>
  <si>
    <t>Key Ratios</t>
  </si>
  <si>
    <t>CMP(Rs)</t>
  </si>
  <si>
    <t>EPS (Rs)</t>
  </si>
  <si>
    <t>BVPS (Rs)</t>
  </si>
  <si>
    <t>DPS (Rs)</t>
  </si>
  <si>
    <t>P/E (x)</t>
  </si>
  <si>
    <t>P/BV (x)</t>
  </si>
  <si>
    <t>EV/EBIDTA (x)</t>
  </si>
  <si>
    <t>Fixed Asset Tunover</t>
  </si>
  <si>
    <t>RoE (%)</t>
  </si>
  <si>
    <t>RoCE (%)</t>
  </si>
  <si>
    <t>Gross D/E(x)</t>
  </si>
  <si>
    <t>Net D/E (x)</t>
  </si>
  <si>
    <t>Dividend Yield</t>
  </si>
  <si>
    <t>Debtor Turnover Ratio</t>
  </si>
  <si>
    <t>Inventory Turnover Ratio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</si>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</sst>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\(#,##0\);\-"/>
    <numFmt numFmtId="166" formatCode="#,##0.00;\(#,##0.00\);\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3" borderId="1" xfId="0" applyFont="1" applyFill="1" applyBorder="1"/>
    <xf numFmtId="0" fontId="0" fillId="3" borderId="1" xfId="0" applyFill="1" applyBorder="1"/>
    <xf numFmtId="0" fontId="4" fillId="0" borderId="1" xfId="0" applyFont="1" applyBorder="1"/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0" fillId="4" borderId="1" xfId="0" applyNumberFormat="1" applyFill="1" applyBorder="1"/>
    <xf numFmtId="10" fontId="3" fillId="3" borderId="1" xfId="1" applyNumberFormat="1" applyFont="1" applyFill="1" applyBorder="1"/>
    <xf numFmtId="165" fontId="0" fillId="0" borderId="1" xfId="0" applyNumberFormat="1" applyBorder="1"/>
    <xf numFmtId="165" fontId="0" fillId="4" borderId="1" xfId="0" applyNumberFormat="1" applyFill="1" applyBorder="1"/>
    <xf numFmtId="166" fontId="0" fillId="0" borderId="1" xfId="0" applyNumberFormat="1" applyBorder="1"/>
    <xf numFmtId="10" fontId="3" fillId="3" borderId="1" xfId="1" applyNumberFormat="1" applyFon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0" fontId="8" fillId="3" borderId="1" xfId="0" applyFont="1" applyFill="1" applyBorder="1"/>
    <xf numFmtId="0" fontId="7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8" fillId="3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165" fontId="1" fillId="4" borderId="1" xfId="0" applyNumberFormat="1" applyFont="1" applyFill="1" applyBorder="1"/>
    <xf numFmtId="165" fontId="1" fillId="6" borderId="1" xfId="0" applyNumberFormat="1" applyFont="1" applyFill="1" applyBorder="1"/>
    <xf numFmtId="165" fontId="0" fillId="0" borderId="0" xfId="0" applyNumberFormat="1"/>
    <xf numFmtId="0" fontId="1" fillId="5" borderId="5" xfId="0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0" fontId="0" fillId="0" borderId="1" xfId="1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5" fontId="0" fillId="5" borderId="1" xfId="0" applyNumberFormat="1" applyFill="1" applyBorder="1" applyAlignment="1">
      <alignment horizontal="right"/>
    </xf>
    <xf numFmtId="2" fontId="0" fillId="0" borderId="1" xfId="0" applyNumberFormat="1" applyBorder="1"/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A361-304A-4447-BBED-79C7B44FA0DC}">
  <dimension ref="B2:S69"/>
  <sheetViews>
    <sheetView showGridLines="0" tabSelected="1" topLeftCell="E49" workbookViewId="0">
      <selection activeCell="P63" sqref="P63"/>
    </sheetView>
  </sheetViews>
  <sheetFormatPr defaultRowHeight="15" x14ac:dyDescent="0.25"/>
  <cols>
    <col min="1" max="1" width="1.85546875" customWidth="1"/>
    <col min="2" max="2" width="71.28515625" bestFit="1" customWidth="1"/>
    <col min="3" max="3" width="9.140625" customWidth="1"/>
    <col min="6" max="6" width="9.5703125" bestFit="1" customWidth="1"/>
    <col min="11" max="11" width="71.28515625" bestFit="1" customWidth="1"/>
    <col min="12" max="12" width="9.140625" customWidth="1"/>
  </cols>
  <sheetData>
    <row r="2" spans="2:16" ht="18.75" x14ac:dyDescent="0.3">
      <c r="B2" s="39" t="s">
        <v>0</v>
      </c>
      <c r="C2" s="39"/>
      <c r="D2" s="39"/>
      <c r="E2" s="39"/>
      <c r="F2" s="39"/>
      <c r="G2" s="39"/>
      <c r="H2" s="39"/>
      <c r="K2" s="40" t="s">
        <v>35</v>
      </c>
      <c r="L2" s="41"/>
      <c r="M2" s="41"/>
      <c r="N2" s="41"/>
      <c r="O2" s="41"/>
      <c r="P2" s="42"/>
    </row>
    <row r="3" spans="2:16" x14ac:dyDescent="0.25">
      <c r="B3" s="11" t="s">
        <v>1</v>
      </c>
      <c r="C3" s="12" t="s">
        <v>21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K3" s="11" t="s">
        <v>1</v>
      </c>
      <c r="L3" s="12" t="s">
        <v>21</v>
      </c>
      <c r="M3" s="12" t="s">
        <v>2</v>
      </c>
      <c r="N3" s="12" t="s">
        <v>3</v>
      </c>
      <c r="O3" s="12" t="s">
        <v>4</v>
      </c>
      <c r="P3" s="12" t="s">
        <v>5</v>
      </c>
    </row>
    <row r="4" spans="2:16" x14ac:dyDescent="0.25">
      <c r="B4" s="1" t="s">
        <v>7</v>
      </c>
      <c r="C4" s="15">
        <v>4106.1289999999999</v>
      </c>
      <c r="D4" s="15">
        <v>3836.9409999999998</v>
      </c>
      <c r="E4" s="15">
        <v>3252.2269999999999</v>
      </c>
      <c r="F4" s="15">
        <v>3143.933</v>
      </c>
      <c r="G4" s="15">
        <v>5419.9769999999999</v>
      </c>
      <c r="H4" s="15">
        <v>1160.145</v>
      </c>
      <c r="K4" s="19" t="s">
        <v>36</v>
      </c>
      <c r="L4" s="20"/>
      <c r="M4" s="20"/>
      <c r="N4" s="20"/>
      <c r="O4" s="20"/>
      <c r="P4" s="20"/>
    </row>
    <row r="5" spans="2:16" x14ac:dyDescent="0.25">
      <c r="B5" s="3" t="s">
        <v>8</v>
      </c>
      <c r="C5" s="18" t="s">
        <v>33</v>
      </c>
      <c r="D5" s="18">
        <f>D4/C4-1</f>
        <v>-6.5557609125285632E-2</v>
      </c>
      <c r="E5" s="18">
        <f t="shared" ref="E5:G5" si="0">E4/D4-1</f>
        <v>-0.15239066746139696</v>
      </c>
      <c r="F5" s="18">
        <f t="shared" si="0"/>
        <v>-3.3298413671616345E-2</v>
      </c>
      <c r="G5" s="18">
        <f t="shared" si="0"/>
        <v>0.72394799761954221</v>
      </c>
      <c r="H5" s="18" t="s">
        <v>33</v>
      </c>
      <c r="K5" s="21" t="s">
        <v>37</v>
      </c>
      <c r="L5" s="4"/>
      <c r="M5" s="4"/>
      <c r="N5" s="4"/>
      <c r="O5" s="4"/>
      <c r="P5" s="4"/>
    </row>
    <row r="6" spans="2:16" x14ac:dyDescent="0.25">
      <c r="B6" s="3" t="s">
        <v>34</v>
      </c>
      <c r="C6" s="18" t="s">
        <v>33</v>
      </c>
      <c r="D6" s="18" t="s">
        <v>33</v>
      </c>
      <c r="E6" s="14">
        <f t="shared" ref="E6:F6" si="1">RATE(3,0,C4,-E4,0)</f>
        <v>-7.477060815551724E-2</v>
      </c>
      <c r="F6" s="14">
        <f t="shared" si="1"/>
        <v>-6.4243784743510959E-2</v>
      </c>
      <c r="G6" s="14">
        <f>RATE(3,0,E4,-G4,0)</f>
        <v>0.18560183877754688</v>
      </c>
      <c r="H6" s="18" t="s">
        <v>33</v>
      </c>
      <c r="K6" s="6" t="s">
        <v>38</v>
      </c>
      <c r="L6" s="15">
        <v>3636.739</v>
      </c>
      <c r="M6" s="15">
        <v>3358.2260000000001</v>
      </c>
      <c r="N6" s="15">
        <v>3085.5590000000002</v>
      </c>
      <c r="O6" s="15">
        <v>848.54499999999996</v>
      </c>
      <c r="P6" s="15">
        <v>659.87900000000002</v>
      </c>
    </row>
    <row r="7" spans="2:16" x14ac:dyDescent="0.25">
      <c r="B7" s="5" t="s">
        <v>9</v>
      </c>
      <c r="C7" s="15"/>
      <c r="D7" s="15"/>
      <c r="E7" s="15"/>
      <c r="F7" s="15"/>
      <c r="G7" s="15"/>
      <c r="H7" s="15"/>
      <c r="K7" s="6" t="s">
        <v>39</v>
      </c>
      <c r="L7" s="15">
        <v>43.984000000000002</v>
      </c>
      <c r="M7" s="15">
        <v>42.384</v>
      </c>
      <c r="N7" s="15">
        <v>42.697000000000003</v>
      </c>
      <c r="O7" s="15">
        <v>42.697000000000003</v>
      </c>
      <c r="P7" s="15">
        <v>114.762</v>
      </c>
    </row>
    <row r="8" spans="2:16" x14ac:dyDescent="0.25">
      <c r="B8" s="6" t="s">
        <v>10</v>
      </c>
      <c r="C8" s="15">
        <v>296.024</v>
      </c>
      <c r="D8" s="15">
        <v>423.07400000000001</v>
      </c>
      <c r="E8" s="15">
        <v>437.726</v>
      </c>
      <c r="F8" s="15">
        <v>418.38600000000002</v>
      </c>
      <c r="G8" s="15">
        <v>897.90800000000002</v>
      </c>
      <c r="H8" s="15">
        <v>231.619</v>
      </c>
      <c r="K8" s="6" t="s">
        <v>40</v>
      </c>
      <c r="L8" s="15">
        <v>7.0990000000000002</v>
      </c>
      <c r="M8" s="15">
        <v>19.562999999999999</v>
      </c>
      <c r="N8" s="15">
        <v>17.544</v>
      </c>
      <c r="O8" s="15">
        <v>169.273</v>
      </c>
      <c r="P8" s="15">
        <v>196.2</v>
      </c>
    </row>
    <row r="9" spans="2:16" x14ac:dyDescent="0.25">
      <c r="B9" s="6" t="s">
        <v>11</v>
      </c>
      <c r="C9" s="15">
        <v>2890.9690000000001</v>
      </c>
      <c r="D9" s="15">
        <v>2606.201</v>
      </c>
      <c r="E9" s="15">
        <v>2037.384</v>
      </c>
      <c r="F9" s="15">
        <v>1971.9179999999999</v>
      </c>
      <c r="G9" s="15">
        <v>2724.982</v>
      </c>
      <c r="H9" s="15">
        <v>631.36800000000005</v>
      </c>
      <c r="K9" s="6" t="s">
        <v>41</v>
      </c>
      <c r="L9" s="15">
        <v>0</v>
      </c>
      <c r="M9" s="15">
        <v>3.4409999999999998</v>
      </c>
      <c r="N9" s="15">
        <v>2.6360000000000001</v>
      </c>
      <c r="O9" s="15">
        <v>2.7759999999999998</v>
      </c>
      <c r="P9" s="15">
        <v>1.7909999999999999</v>
      </c>
    </row>
    <row r="10" spans="2:16" x14ac:dyDescent="0.25">
      <c r="B10" s="6" t="s">
        <v>12</v>
      </c>
      <c r="C10" s="15">
        <v>97.575000000000003</v>
      </c>
      <c r="D10" s="15">
        <v>52.91</v>
      </c>
      <c r="E10" s="15">
        <v>112.503</v>
      </c>
      <c r="F10" s="15">
        <v>4.9960000000000004</v>
      </c>
      <c r="G10" s="15">
        <v>-132.32300000000001</v>
      </c>
      <c r="H10" s="15">
        <v>-40.476999999999997</v>
      </c>
      <c r="K10" s="6" t="s">
        <v>42</v>
      </c>
      <c r="L10" s="15">
        <v>32.377000000000002</v>
      </c>
      <c r="M10" s="15">
        <v>32.377000000000002</v>
      </c>
      <c r="N10" s="15">
        <v>32.377000000000002</v>
      </c>
      <c r="O10" s="15">
        <v>346.11500000000001</v>
      </c>
      <c r="P10" s="15">
        <v>346.11500000000001</v>
      </c>
    </row>
    <row r="11" spans="2:16" x14ac:dyDescent="0.25">
      <c r="B11" s="6" t="s">
        <v>13</v>
      </c>
      <c r="C11" s="15">
        <v>533.45600000000002</v>
      </c>
      <c r="D11" s="15">
        <v>537.26800000000003</v>
      </c>
      <c r="E11" s="15">
        <v>558.65</v>
      </c>
      <c r="F11" s="15">
        <v>537.96900000000005</v>
      </c>
      <c r="G11" s="15">
        <f>667.45+91.763</f>
        <v>759.21300000000008</v>
      </c>
      <c r="H11" s="15">
        <f>180.889+14.011</f>
        <v>194.9</v>
      </c>
      <c r="K11" s="22" t="s">
        <v>43</v>
      </c>
      <c r="L11" s="15"/>
      <c r="M11" s="15"/>
      <c r="N11" s="15"/>
      <c r="O11" s="15"/>
      <c r="P11" s="15"/>
    </row>
    <row r="12" spans="2:16" x14ac:dyDescent="0.25">
      <c r="B12" s="6" t="s">
        <v>15</v>
      </c>
      <c r="C12" s="15">
        <v>680.92</v>
      </c>
      <c r="D12" s="15">
        <v>590.71299999999997</v>
      </c>
      <c r="E12" s="15">
        <v>534.654</v>
      </c>
      <c r="F12" s="15">
        <v>558.00599999999997</v>
      </c>
      <c r="G12" s="15">
        <v>920.43299999999999</v>
      </c>
      <c r="H12" s="15">
        <v>224.71</v>
      </c>
      <c r="K12" s="23" t="s">
        <v>44</v>
      </c>
      <c r="L12" s="15">
        <v>0</v>
      </c>
      <c r="M12" s="15">
        <v>0</v>
      </c>
      <c r="N12" s="15">
        <v>0</v>
      </c>
      <c r="O12" s="15">
        <v>7.625</v>
      </c>
      <c r="P12" s="15">
        <v>7.6109999999999998</v>
      </c>
    </row>
    <row r="13" spans="2:16" x14ac:dyDescent="0.25">
      <c r="B13" s="8" t="s">
        <v>16</v>
      </c>
      <c r="C13" s="13">
        <f t="shared" ref="C13:G13" si="2">C4-SUM(C8:C12)</f>
        <v>-392.8149999999996</v>
      </c>
      <c r="D13" s="13">
        <f t="shared" si="2"/>
        <v>-373.22500000000036</v>
      </c>
      <c r="E13" s="13">
        <f t="shared" si="2"/>
        <v>-428.69000000000051</v>
      </c>
      <c r="F13" s="13">
        <f t="shared" si="2"/>
        <v>-347.3420000000001</v>
      </c>
      <c r="G13" s="13">
        <f t="shared" si="2"/>
        <v>249.76400000000012</v>
      </c>
      <c r="H13" s="13">
        <f>H4-SUM(H8:H12)</f>
        <v>-81.975000000000136</v>
      </c>
      <c r="K13" s="23" t="s">
        <v>45</v>
      </c>
      <c r="L13" s="15">
        <v>341.96199999999999</v>
      </c>
      <c r="M13" s="15">
        <v>348.76</v>
      </c>
      <c r="N13" s="15">
        <v>354.72199999999998</v>
      </c>
      <c r="O13" s="15">
        <v>383.49400000000003</v>
      </c>
      <c r="P13" s="15">
        <v>342.78899999999999</v>
      </c>
    </row>
    <row r="14" spans="2:16" x14ac:dyDescent="0.25">
      <c r="B14" s="3" t="s">
        <v>17</v>
      </c>
      <c r="C14" s="14">
        <f t="shared" ref="C14:G14" si="3">C13/C4</f>
        <v>-9.5665528287104382E-2</v>
      </c>
      <c r="D14" s="14">
        <f t="shared" si="3"/>
        <v>-9.7271498310763801E-2</v>
      </c>
      <c r="E14" s="14">
        <f t="shared" si="3"/>
        <v>-0.13181429217579232</v>
      </c>
      <c r="F14" s="14">
        <f t="shared" si="3"/>
        <v>-0.11048008974745967</v>
      </c>
      <c r="G14" s="14">
        <f t="shared" si="3"/>
        <v>4.6082114370596061E-2</v>
      </c>
      <c r="H14" s="14">
        <f>H13/H4</f>
        <v>-7.0659271039396052E-2</v>
      </c>
      <c r="K14" s="6" t="s">
        <v>46</v>
      </c>
      <c r="L14" s="15">
        <v>153.221</v>
      </c>
      <c r="M14" s="15">
        <v>152.23699999999999</v>
      </c>
      <c r="N14" s="15">
        <v>140.70400000000001</v>
      </c>
      <c r="O14" s="15">
        <v>184.42500000000001</v>
      </c>
      <c r="P14" s="15">
        <v>177.84200000000001</v>
      </c>
    </row>
    <row r="15" spans="2:16" x14ac:dyDescent="0.25">
      <c r="B15" s="3" t="s">
        <v>8</v>
      </c>
      <c r="C15" s="18" t="s">
        <v>33</v>
      </c>
      <c r="D15" s="18">
        <f>D13/C13-1</f>
        <v>-4.987080432264368E-2</v>
      </c>
      <c r="E15" s="18">
        <f t="shared" ref="E15:G15" si="4">E13/D13-1</f>
        <v>0.14861008774867734</v>
      </c>
      <c r="F15" s="18">
        <f t="shared" si="4"/>
        <v>-0.18975949987170293</v>
      </c>
      <c r="G15" s="18">
        <f t="shared" si="4"/>
        <v>-1.7190722688301445</v>
      </c>
      <c r="H15" s="18" t="s">
        <v>33</v>
      </c>
      <c r="K15" s="9" t="s">
        <v>47</v>
      </c>
      <c r="L15" s="26">
        <f t="shared" ref="L15:N15" si="5">SUM(L6:L14)</f>
        <v>4215.3819999999996</v>
      </c>
      <c r="M15" s="26">
        <f t="shared" si="5"/>
        <v>3956.9880000000003</v>
      </c>
      <c r="N15" s="26">
        <f t="shared" si="5"/>
        <v>3676.239</v>
      </c>
      <c r="O15" s="26">
        <f>SUM(O6:O14)</f>
        <v>1984.95</v>
      </c>
      <c r="P15" s="26">
        <f t="shared" ref="P15" si="6">SUM(P6:P14)</f>
        <v>1846.9890000000005</v>
      </c>
    </row>
    <row r="16" spans="2:16" x14ac:dyDescent="0.25">
      <c r="B16" s="3" t="s">
        <v>34</v>
      </c>
      <c r="C16" s="18" t="s">
        <v>33</v>
      </c>
      <c r="D16" s="18" t="s">
        <v>33</v>
      </c>
      <c r="E16" s="14">
        <f t="shared" ref="E16:F16" si="7">RATE(3,0,C13,-E13,0)</f>
        <v>2.9560241724859857E-2</v>
      </c>
      <c r="F16" s="14">
        <f t="shared" si="7"/>
        <v>-2.3672494422162838E-2</v>
      </c>
      <c r="G16" s="14" t="e">
        <f>RATE(3,0,E13,-G13,0)</f>
        <v>#NUM!</v>
      </c>
      <c r="H16" s="18" t="s">
        <v>33</v>
      </c>
      <c r="K16" s="24" t="s">
        <v>48</v>
      </c>
      <c r="L16" s="4"/>
      <c r="M16" s="4"/>
      <c r="N16" s="4"/>
      <c r="O16" s="4"/>
      <c r="P16" s="4"/>
    </row>
    <row r="17" spans="2:19" x14ac:dyDescent="0.25">
      <c r="B17" s="7" t="s">
        <v>18</v>
      </c>
      <c r="C17" s="15">
        <v>74.718000000000004</v>
      </c>
      <c r="D17" s="15">
        <v>45.460999999999999</v>
      </c>
      <c r="E17" s="15">
        <v>48.600999999999999</v>
      </c>
      <c r="F17" s="15">
        <v>133.50800000000001</v>
      </c>
      <c r="G17" s="15">
        <v>118.86499999999999</v>
      </c>
      <c r="H17" s="15">
        <v>24.934000000000001</v>
      </c>
      <c r="K17" s="6" t="s">
        <v>49</v>
      </c>
      <c r="L17" s="15">
        <v>636.30100000000004</v>
      </c>
      <c r="M17" s="15">
        <v>677.39800000000002</v>
      </c>
      <c r="N17" s="15">
        <v>557.72500000000002</v>
      </c>
      <c r="O17" s="15">
        <v>665.80700000000002</v>
      </c>
      <c r="P17" s="15">
        <v>980.822</v>
      </c>
    </row>
    <row r="18" spans="2:19" x14ac:dyDescent="0.25">
      <c r="B18" s="7" t="s">
        <v>14</v>
      </c>
      <c r="C18" s="15">
        <v>300.03699999999998</v>
      </c>
      <c r="D18" s="15">
        <v>292.59800000000001</v>
      </c>
      <c r="E18" s="15">
        <v>291.62099999999998</v>
      </c>
      <c r="F18" s="15">
        <v>1877.8530000000001</v>
      </c>
      <c r="G18" s="15">
        <f>103.735-165</f>
        <v>-61.265000000000001</v>
      </c>
      <c r="H18" s="15">
        <v>21.335000000000001</v>
      </c>
      <c r="K18" s="6" t="s">
        <v>50</v>
      </c>
      <c r="L18" s="15">
        <v>1873.43</v>
      </c>
      <c r="M18" s="15">
        <v>1873.4290000000001</v>
      </c>
      <c r="N18" s="15">
        <v>1873.4290000000001</v>
      </c>
      <c r="O18" s="15">
        <v>3066.373</v>
      </c>
      <c r="P18" s="15">
        <v>3304.6709999999998</v>
      </c>
    </row>
    <row r="19" spans="2:19" x14ac:dyDescent="0.25">
      <c r="B19" s="7" t="s">
        <v>19</v>
      </c>
      <c r="C19" s="15">
        <v>643.26099999999997</v>
      </c>
      <c r="D19" s="15">
        <v>733.529</v>
      </c>
      <c r="E19" s="15">
        <v>955.27800000000002</v>
      </c>
      <c r="F19" s="15">
        <v>701.86300000000006</v>
      </c>
      <c r="G19" s="15">
        <v>103.14700000000001</v>
      </c>
      <c r="H19" s="15">
        <v>24.905000000000001</v>
      </c>
      <c r="K19" s="22" t="s">
        <v>43</v>
      </c>
      <c r="L19" s="15"/>
      <c r="M19" s="15"/>
      <c r="N19" s="15"/>
      <c r="O19" s="15"/>
      <c r="P19" s="15"/>
    </row>
    <row r="20" spans="2:19" x14ac:dyDescent="0.25">
      <c r="B20" s="9" t="s">
        <v>23</v>
      </c>
      <c r="C20" s="16">
        <f t="shared" ref="C20:G20" si="8">C13+C17-C18-C19</f>
        <v>-1261.3949999999995</v>
      </c>
      <c r="D20" s="16">
        <f t="shared" si="8"/>
        <v>-1353.8910000000003</v>
      </c>
      <c r="E20" s="16">
        <f t="shared" si="8"/>
        <v>-1626.9880000000005</v>
      </c>
      <c r="F20" s="16">
        <f t="shared" si="8"/>
        <v>-2793.55</v>
      </c>
      <c r="G20" s="16">
        <f t="shared" si="8"/>
        <v>326.74700000000013</v>
      </c>
      <c r="H20" s="16">
        <f>H13+H17-H18-H19</f>
        <v>-103.28100000000015</v>
      </c>
      <c r="K20" s="23" t="s">
        <v>51</v>
      </c>
      <c r="L20" s="15">
        <v>966.13599999999997</v>
      </c>
      <c r="M20" s="15">
        <v>739.89400000000001</v>
      </c>
      <c r="N20" s="15">
        <v>372.38600000000002</v>
      </c>
      <c r="O20" s="15">
        <v>644.74800000000005</v>
      </c>
      <c r="P20" s="15">
        <v>1684.337</v>
      </c>
    </row>
    <row r="21" spans="2:19" x14ac:dyDescent="0.25">
      <c r="B21" s="7" t="s">
        <v>24</v>
      </c>
      <c r="C21" s="15">
        <v>0</v>
      </c>
      <c r="D21" s="15">
        <v>-158.53399999999999</v>
      </c>
      <c r="E21" s="15">
        <v>0</v>
      </c>
      <c r="F21" s="15">
        <v>-4618.4530000000004</v>
      </c>
      <c r="G21" s="15">
        <v>-40.012999999999998</v>
      </c>
      <c r="H21" s="15">
        <v>0</v>
      </c>
      <c r="K21" s="23" t="s">
        <v>52</v>
      </c>
      <c r="L21" s="15">
        <v>124.4</v>
      </c>
      <c r="M21" s="15">
        <v>112.289</v>
      </c>
      <c r="N21" s="15">
        <v>73.052000000000007</v>
      </c>
      <c r="O21" s="15">
        <v>913.63599999999997</v>
      </c>
      <c r="P21" s="15">
        <v>313.65600000000001</v>
      </c>
      <c r="R21" s="28"/>
      <c r="S21" s="28"/>
    </row>
    <row r="22" spans="2:19" x14ac:dyDescent="0.25">
      <c r="B22" s="9" t="s">
        <v>20</v>
      </c>
      <c r="C22" s="16">
        <f t="shared" ref="C22:G22" si="9">C20+C21</f>
        <v>-1261.3949999999995</v>
      </c>
      <c r="D22" s="16">
        <f t="shared" si="9"/>
        <v>-1512.4250000000002</v>
      </c>
      <c r="E22" s="16">
        <f t="shared" si="9"/>
        <v>-1626.9880000000005</v>
      </c>
      <c r="F22" s="16">
        <f t="shared" si="9"/>
        <v>-7412.0030000000006</v>
      </c>
      <c r="G22" s="16">
        <f t="shared" si="9"/>
        <v>286.73400000000015</v>
      </c>
      <c r="H22" s="16">
        <f>H20+H21</f>
        <v>-103.28100000000015</v>
      </c>
      <c r="K22" s="23" t="s">
        <v>53</v>
      </c>
      <c r="L22" s="15">
        <v>202.3</v>
      </c>
      <c r="M22" s="15">
        <v>202.85300000000001</v>
      </c>
      <c r="N22" s="15">
        <v>96.141000000000005</v>
      </c>
      <c r="O22" s="15">
        <v>468.77800000000002</v>
      </c>
      <c r="P22" s="15">
        <v>576.16</v>
      </c>
    </row>
    <row r="23" spans="2:19" x14ac:dyDescent="0.25">
      <c r="B23" s="7" t="s">
        <v>22</v>
      </c>
      <c r="C23" s="15">
        <v>0.02</v>
      </c>
      <c r="D23" s="15">
        <v>0.08</v>
      </c>
      <c r="E23" s="15">
        <f>-0.054-2.677</f>
        <v>-2.7309999999999999</v>
      </c>
      <c r="F23" s="15">
        <v>-6.3E-2</v>
      </c>
      <c r="G23" s="15">
        <f>0.197-0.454</f>
        <v>-0.25700000000000001</v>
      </c>
      <c r="H23" s="15">
        <v>-0.16</v>
      </c>
      <c r="K23" s="23" t="s">
        <v>54</v>
      </c>
      <c r="L23" s="15">
        <v>3.6840000000000002</v>
      </c>
      <c r="M23" s="15">
        <v>6.0670000000000002</v>
      </c>
      <c r="N23" s="15">
        <v>5.0039999999999996</v>
      </c>
      <c r="O23" s="15">
        <v>12.802</v>
      </c>
      <c r="P23" s="15">
        <v>10.162000000000001</v>
      </c>
    </row>
    <row r="24" spans="2:19" x14ac:dyDescent="0.25">
      <c r="B24" s="3" t="s">
        <v>25</v>
      </c>
      <c r="C24" s="14">
        <f>C23/C22</f>
        <v>-1.585546161194551E-5</v>
      </c>
      <c r="D24" s="14">
        <f t="shared" ref="D24:H24" si="10">D23/D22</f>
        <v>-5.2895184885200913E-5</v>
      </c>
      <c r="E24" s="14">
        <f t="shared" si="10"/>
        <v>1.6785618578625035E-3</v>
      </c>
      <c r="F24" s="14">
        <f t="shared" si="10"/>
        <v>8.4997267270399107E-6</v>
      </c>
      <c r="G24" s="14">
        <f t="shared" si="10"/>
        <v>-8.9630110136921278E-4</v>
      </c>
      <c r="H24" s="14">
        <f t="shared" si="10"/>
        <v>1.5491716772688081E-3</v>
      </c>
      <c r="K24" s="6" t="s">
        <v>55</v>
      </c>
      <c r="L24" s="15">
        <v>379.80799999999999</v>
      </c>
      <c r="M24" s="15">
        <v>301.608</v>
      </c>
      <c r="N24" s="15">
        <v>340.44200000000001</v>
      </c>
      <c r="O24" s="15">
        <v>1454.0139999999999</v>
      </c>
      <c r="P24" s="15">
        <v>1932.941</v>
      </c>
    </row>
    <row r="25" spans="2:19" x14ac:dyDescent="0.25">
      <c r="B25" s="8" t="s">
        <v>26</v>
      </c>
      <c r="C25" s="16">
        <f t="shared" ref="C25:D25" si="11">C22-C23</f>
        <v>-1261.4149999999995</v>
      </c>
      <c r="D25" s="16">
        <f t="shared" si="11"/>
        <v>-1512.5050000000001</v>
      </c>
      <c r="E25" s="16">
        <f>E22+E23</f>
        <v>-1629.7190000000005</v>
      </c>
      <c r="F25" s="16">
        <f t="shared" ref="F25:H25" si="12">F22+F23</f>
        <v>-7412.0660000000007</v>
      </c>
      <c r="G25" s="16">
        <f>G22-G23</f>
        <v>286.99100000000016</v>
      </c>
      <c r="H25" s="16">
        <f t="shared" si="12"/>
        <v>-103.44100000000014</v>
      </c>
      <c r="K25" s="6" t="s">
        <v>56</v>
      </c>
      <c r="L25" s="15">
        <v>308.42399999999998</v>
      </c>
      <c r="M25" s="15">
        <v>308.42399999999998</v>
      </c>
      <c r="N25" s="15">
        <v>308.42399999999998</v>
      </c>
      <c r="O25" s="15">
        <v>0</v>
      </c>
      <c r="P25" s="15">
        <v>252.34800000000001</v>
      </c>
    </row>
    <row r="26" spans="2:19" x14ac:dyDescent="0.25">
      <c r="B26" s="3" t="s">
        <v>27</v>
      </c>
      <c r="C26" s="14">
        <f t="shared" ref="C26:G26" si="13">C25/C4</f>
        <v>-0.30720296415431653</v>
      </c>
      <c r="D26" s="14">
        <f t="shared" si="13"/>
        <v>-0.39419553232640275</v>
      </c>
      <c r="E26" s="14">
        <f t="shared" si="13"/>
        <v>-0.50110862495145647</v>
      </c>
      <c r="F26" s="14">
        <f t="shared" si="13"/>
        <v>-2.3575775946879278</v>
      </c>
      <c r="G26" s="14">
        <f t="shared" si="13"/>
        <v>5.2950593701781422E-2</v>
      </c>
      <c r="H26" s="14">
        <f>H25/H4</f>
        <v>-8.9162130595744626E-2</v>
      </c>
      <c r="K26" s="9" t="s">
        <v>57</v>
      </c>
      <c r="L26" s="26">
        <f>SUM(L17:L25)</f>
        <v>4494.4830000000011</v>
      </c>
      <c r="M26" s="26">
        <f>SUM(M17:M25)</f>
        <v>4221.9620000000014</v>
      </c>
      <c r="N26" s="26">
        <f>SUM(N17:N25)</f>
        <v>3626.6030000000001</v>
      </c>
      <c r="O26" s="26">
        <f>SUM(O17:O25)</f>
        <v>7226.1580000000004</v>
      </c>
      <c r="P26" s="26">
        <f>SUM(P17:P25)</f>
        <v>9055.0969999999998</v>
      </c>
    </row>
    <row r="27" spans="2:19" x14ac:dyDescent="0.25">
      <c r="B27" s="3" t="s">
        <v>8</v>
      </c>
      <c r="C27" s="18" t="s">
        <v>33</v>
      </c>
      <c r="D27" s="14">
        <f>D25/C25-1</f>
        <v>0.1990542367103616</v>
      </c>
      <c r="E27" s="14">
        <f t="shared" ref="E27:G27" si="14">E25/D25-1</f>
        <v>7.7496603317014134E-2</v>
      </c>
      <c r="F27" s="14">
        <f t="shared" si="14"/>
        <v>3.5480638073189299</v>
      </c>
      <c r="G27" s="14">
        <f t="shared" si="14"/>
        <v>-1.0387194339607877</v>
      </c>
      <c r="H27" s="18" t="s">
        <v>33</v>
      </c>
      <c r="K27" s="25" t="s">
        <v>58</v>
      </c>
      <c r="L27" s="27">
        <f>L15+L26</f>
        <v>8709.8650000000016</v>
      </c>
      <c r="M27" s="27">
        <f>M15+M26</f>
        <v>8178.9500000000016</v>
      </c>
      <c r="N27" s="27">
        <f>N15+N26</f>
        <v>7302.8420000000006</v>
      </c>
      <c r="O27" s="27">
        <f>O15+O26</f>
        <v>9211.1080000000002</v>
      </c>
      <c r="P27" s="27">
        <f>P15+P26</f>
        <v>10902.085999999999</v>
      </c>
    </row>
    <row r="28" spans="2:19" x14ac:dyDescent="0.25">
      <c r="B28" s="3" t="s">
        <v>34</v>
      </c>
      <c r="C28" s="18" t="s">
        <v>33</v>
      </c>
      <c r="D28" s="18" t="s">
        <v>33</v>
      </c>
      <c r="E28" s="14">
        <f>RATE(3,0,C25,-E25,0)</f>
        <v>8.9143020043705057E-2</v>
      </c>
      <c r="F28" s="14">
        <f t="shared" ref="F28" si="15">RATE(3,0,D25,-F25,0)</f>
        <v>0.69855971482260959</v>
      </c>
      <c r="G28" s="14" t="e">
        <f>RATE(3,0,E25,-G25,0)</f>
        <v>#NUM!</v>
      </c>
      <c r="H28" s="18" t="s">
        <v>33</v>
      </c>
      <c r="K28" s="1" t="s">
        <v>59</v>
      </c>
      <c r="L28" s="2"/>
      <c r="M28" s="2"/>
      <c r="N28" s="2"/>
      <c r="O28" s="2"/>
      <c r="P28" s="2"/>
    </row>
    <row r="29" spans="2:19" x14ac:dyDescent="0.25">
      <c r="B29" s="7" t="s">
        <v>28</v>
      </c>
      <c r="C29" s="15">
        <v>3.8290000000000002</v>
      </c>
      <c r="D29" s="15">
        <v>3.03</v>
      </c>
      <c r="E29" s="15">
        <v>0.85299999999999998</v>
      </c>
      <c r="F29" s="15">
        <v>-0.997</v>
      </c>
      <c r="G29" s="15">
        <v>1.0649999999999999</v>
      </c>
      <c r="H29" s="15">
        <v>0.28999999999999998</v>
      </c>
      <c r="K29" s="21" t="s">
        <v>60</v>
      </c>
      <c r="L29" s="4"/>
      <c r="M29" s="4"/>
      <c r="N29" s="4"/>
      <c r="O29" s="4"/>
      <c r="P29" s="4"/>
    </row>
    <row r="30" spans="2:19" x14ac:dyDescent="0.25">
      <c r="B30" s="10" t="s">
        <v>29</v>
      </c>
      <c r="C30" s="16">
        <f t="shared" ref="C30:G30" si="16">C25+C29</f>
        <v>-1257.5859999999996</v>
      </c>
      <c r="D30" s="16">
        <f t="shared" si="16"/>
        <v>-1509.4750000000001</v>
      </c>
      <c r="E30" s="16">
        <f t="shared" si="16"/>
        <v>-1628.8660000000004</v>
      </c>
      <c r="F30" s="16">
        <f t="shared" si="16"/>
        <v>-7413.063000000001</v>
      </c>
      <c r="G30" s="16">
        <f t="shared" si="16"/>
        <v>288.05600000000015</v>
      </c>
      <c r="H30" s="16">
        <f>H25+H29</f>
        <v>-103.15100000000014</v>
      </c>
      <c r="K30" s="6" t="s">
        <v>61</v>
      </c>
      <c r="L30" s="15">
        <v>718.59</v>
      </c>
      <c r="M30" s="15">
        <v>718.59</v>
      </c>
      <c r="N30" s="15">
        <v>718.59</v>
      </c>
      <c r="O30" s="15">
        <v>2287.2199999999998</v>
      </c>
      <c r="P30" s="15">
        <v>2405.1610000000001</v>
      </c>
    </row>
    <row r="31" spans="2:19" x14ac:dyDescent="0.25">
      <c r="B31" s="3" t="s">
        <v>8</v>
      </c>
      <c r="C31" s="18" t="s">
        <v>33</v>
      </c>
      <c r="D31" s="14">
        <f>D30/C30-1</f>
        <v>0.20029564578486148</v>
      </c>
      <c r="E31" s="14">
        <f t="shared" ref="E31:G31" si="17">E30/D30-1</f>
        <v>7.9094387121350307E-2</v>
      </c>
      <c r="F31" s="14">
        <f t="shared" si="17"/>
        <v>3.5510576069486373</v>
      </c>
      <c r="G31" s="14">
        <f t="shared" si="17"/>
        <v>-1.0388578918053173</v>
      </c>
      <c r="H31" s="18" t="s">
        <v>33</v>
      </c>
      <c r="K31" s="6" t="s">
        <v>62</v>
      </c>
      <c r="L31" s="15">
        <v>-2701.8319999999999</v>
      </c>
      <c r="M31" s="15">
        <v>-4211.28</v>
      </c>
      <c r="N31" s="15">
        <v>-5840.2560000000003</v>
      </c>
      <c r="O31" s="15">
        <v>179.012</v>
      </c>
      <c r="P31" s="15">
        <v>1243.0450000000001</v>
      </c>
    </row>
    <row r="32" spans="2:19" x14ac:dyDescent="0.25">
      <c r="B32" s="3" t="s">
        <v>34</v>
      </c>
      <c r="C32" s="18" t="s">
        <v>33</v>
      </c>
      <c r="D32" s="18" t="s">
        <v>33</v>
      </c>
      <c r="E32" s="14">
        <f>RATE(3,0,C30,-E30,0)</f>
        <v>9.0057033250799862E-2</v>
      </c>
      <c r="F32" s="14">
        <f t="shared" ref="F32:G32" si="18">RATE(3,0,D30,-F30,0)</f>
        <v>0.69977167858003564</v>
      </c>
      <c r="G32" s="14" t="e">
        <f t="shared" si="18"/>
        <v>#NUM!</v>
      </c>
      <c r="H32" s="18" t="s">
        <v>33</v>
      </c>
      <c r="K32" s="6" t="s">
        <v>63</v>
      </c>
      <c r="L32" s="15">
        <v>-172.43199999999999</v>
      </c>
      <c r="M32" s="15">
        <v>-172.45699999999999</v>
      </c>
      <c r="N32" s="15">
        <v>-172.48400000000001</v>
      </c>
      <c r="O32" s="15">
        <v>-0.54800000000000004</v>
      </c>
      <c r="P32" s="15">
        <v>-3.0870000000000002</v>
      </c>
    </row>
    <row r="33" spans="2:16" x14ac:dyDescent="0.25">
      <c r="B33" s="7" t="s">
        <v>30</v>
      </c>
      <c r="C33" s="15"/>
      <c r="D33" s="15"/>
      <c r="E33" s="15"/>
      <c r="F33" s="15"/>
      <c r="G33" s="15"/>
      <c r="H33" s="15"/>
      <c r="K33" s="8" t="s">
        <v>64</v>
      </c>
      <c r="L33" s="26">
        <f>SUM(L30:L32)</f>
        <v>-2155.6739999999995</v>
      </c>
      <c r="M33" s="26">
        <f t="shared" ref="M33:N33" si="19">SUM(M30:M32)</f>
        <v>-3665.1469999999995</v>
      </c>
      <c r="N33" s="26">
        <f t="shared" si="19"/>
        <v>-5294.1500000000005</v>
      </c>
      <c r="O33" s="26">
        <f>SUM(O30:O32)</f>
        <v>2465.6840000000002</v>
      </c>
      <c r="P33" s="26">
        <f t="shared" ref="P33" si="20">SUM(P30:P32)</f>
        <v>3645.1190000000001</v>
      </c>
    </row>
    <row r="34" spans="2:16" x14ac:dyDescent="0.25">
      <c r="B34" s="6" t="s">
        <v>31</v>
      </c>
      <c r="C34" s="17">
        <v>-17.55</v>
      </c>
      <c r="D34" s="17">
        <v>-21.05</v>
      </c>
      <c r="E34" s="17">
        <v>-22.68</v>
      </c>
      <c r="F34" s="17">
        <v>-74.59</v>
      </c>
      <c r="G34" s="17">
        <v>1.26</v>
      </c>
      <c r="H34" s="17">
        <v>-0.43</v>
      </c>
      <c r="K34" s="21" t="s">
        <v>72</v>
      </c>
      <c r="L34" s="4"/>
      <c r="M34" s="4"/>
      <c r="N34" s="4"/>
      <c r="O34" s="4"/>
      <c r="P34" s="4"/>
    </row>
    <row r="35" spans="2:16" x14ac:dyDescent="0.25">
      <c r="B35" s="6" t="s">
        <v>32</v>
      </c>
      <c r="C35" s="17">
        <v>-17.55</v>
      </c>
      <c r="D35" s="17">
        <v>-21.05</v>
      </c>
      <c r="E35" s="17">
        <v>-22.68</v>
      </c>
      <c r="F35" s="17">
        <v>-74.59</v>
      </c>
      <c r="G35" s="17">
        <v>1.19</v>
      </c>
      <c r="H35" s="17">
        <v>-0.43</v>
      </c>
      <c r="K35" s="22" t="s">
        <v>65</v>
      </c>
      <c r="L35" s="15"/>
      <c r="M35" s="15"/>
      <c r="N35" s="15"/>
      <c r="O35" s="15"/>
      <c r="P35" s="15"/>
    </row>
    <row r="36" spans="2:16" x14ac:dyDescent="0.25">
      <c r="B36" s="3" t="s">
        <v>8</v>
      </c>
      <c r="C36" s="18" t="s">
        <v>33</v>
      </c>
      <c r="D36" s="14">
        <f>D35/C35-1</f>
        <v>0.19943019943019946</v>
      </c>
      <c r="E36" s="14">
        <f t="shared" ref="E36:G36" si="21">E35/D35-1</f>
        <v>7.7434679334916767E-2</v>
      </c>
      <c r="F36" s="14">
        <f t="shared" si="21"/>
        <v>2.2888007054673722</v>
      </c>
      <c r="G36" s="14">
        <f t="shared" si="21"/>
        <v>-1.0159538812173214</v>
      </c>
      <c r="H36" s="18" t="s">
        <v>33</v>
      </c>
      <c r="K36" s="23" t="s">
        <v>74</v>
      </c>
      <c r="L36" s="15">
        <v>2000.2629999999999</v>
      </c>
      <c r="M36" s="15">
        <v>2000</v>
      </c>
      <c r="N36" s="15">
        <v>2000</v>
      </c>
      <c r="O36" s="15">
        <v>2567.1289999999999</v>
      </c>
      <c r="P36" s="15">
        <v>2603.1289999999999</v>
      </c>
    </row>
    <row r="37" spans="2:16" x14ac:dyDescent="0.25">
      <c r="B37" s="3" t="s">
        <v>34</v>
      </c>
      <c r="C37" s="18" t="s">
        <v>33</v>
      </c>
      <c r="D37" s="18" t="s">
        <v>33</v>
      </c>
      <c r="E37" s="14">
        <f>RATE(3,0,C35,-E35,0)</f>
        <v>8.9235974508427698E-2</v>
      </c>
      <c r="F37" s="14">
        <f>RATE(3,0,D35,-F35,0)</f>
        <v>0.52455408386732982</v>
      </c>
      <c r="G37" s="14">
        <f>RATE(3,0,E35,G35,0)</f>
        <v>-0.62562977217365034</v>
      </c>
      <c r="H37" s="18" t="s">
        <v>33</v>
      </c>
      <c r="K37" s="23" t="s">
        <v>68</v>
      </c>
      <c r="L37" s="15">
        <v>3.3929999999999998</v>
      </c>
      <c r="M37" s="15">
        <v>10.64</v>
      </c>
      <c r="N37" s="15">
        <v>5.8460000000000001</v>
      </c>
      <c r="O37" s="15">
        <v>39.000999999999998</v>
      </c>
      <c r="P37" s="15">
        <v>77.024000000000001</v>
      </c>
    </row>
    <row r="38" spans="2:16" x14ac:dyDescent="0.25">
      <c r="K38" s="6" t="s">
        <v>75</v>
      </c>
      <c r="L38" s="15">
        <v>21.46</v>
      </c>
      <c r="M38" s="15">
        <v>16.006</v>
      </c>
      <c r="N38" s="15">
        <v>17.914999999999999</v>
      </c>
      <c r="O38" s="15">
        <v>15.493</v>
      </c>
      <c r="P38" s="15">
        <v>29.606999999999999</v>
      </c>
    </row>
    <row r="39" spans="2:16" x14ac:dyDescent="0.25">
      <c r="B39" s="43" t="s">
        <v>81</v>
      </c>
      <c r="C39" s="44"/>
      <c r="D39" s="44"/>
      <c r="E39" s="44"/>
      <c r="F39" s="44"/>
      <c r="G39" s="44"/>
      <c r="H39" s="29"/>
      <c r="K39" s="6" t="s">
        <v>76</v>
      </c>
      <c r="L39" s="15">
        <v>0</v>
      </c>
      <c r="M39" s="15">
        <v>0</v>
      </c>
      <c r="N39" s="15">
        <v>0</v>
      </c>
      <c r="O39" s="15">
        <v>167.33699999999999</v>
      </c>
      <c r="P39" s="15">
        <v>177.33699999999999</v>
      </c>
    </row>
    <row r="40" spans="2:16" x14ac:dyDescent="0.25">
      <c r="B40" s="11" t="s">
        <v>1</v>
      </c>
      <c r="C40" s="12" t="s">
        <v>21</v>
      </c>
      <c r="D40" s="12" t="s">
        <v>2</v>
      </c>
      <c r="E40" s="12" t="s">
        <v>3</v>
      </c>
      <c r="F40" s="12" t="s">
        <v>4</v>
      </c>
      <c r="G40" s="12" t="s">
        <v>5</v>
      </c>
      <c r="K40" s="9" t="s">
        <v>79</v>
      </c>
      <c r="L40" s="26">
        <f t="shared" ref="L40:N40" si="22">SUM(L36:L39)</f>
        <v>2025.116</v>
      </c>
      <c r="M40" s="26">
        <f t="shared" si="22"/>
        <v>2026.6460000000002</v>
      </c>
      <c r="N40" s="26">
        <f t="shared" si="22"/>
        <v>2023.761</v>
      </c>
      <c r="O40" s="26">
        <f>SUM(O36:O39)</f>
        <v>2788.96</v>
      </c>
      <c r="P40" s="26">
        <f t="shared" ref="P40" si="23">SUM(P36:P39)</f>
        <v>2887.0969999999998</v>
      </c>
    </row>
    <row r="41" spans="2:16" x14ac:dyDescent="0.25">
      <c r="B41" s="2" t="s">
        <v>82</v>
      </c>
      <c r="C41" s="15">
        <v>47.094000000000001</v>
      </c>
      <c r="D41" s="15">
        <v>25.864999999999998</v>
      </c>
      <c r="E41" s="15">
        <v>-87.887</v>
      </c>
      <c r="F41" s="15">
        <v>-1479.7170000000001</v>
      </c>
      <c r="G41" s="15">
        <v>-1525.828</v>
      </c>
      <c r="K41" s="24" t="s">
        <v>73</v>
      </c>
      <c r="L41" s="4"/>
      <c r="M41" s="4"/>
      <c r="N41" s="4"/>
      <c r="O41" s="4"/>
      <c r="P41" s="4"/>
    </row>
    <row r="42" spans="2:16" x14ac:dyDescent="0.25">
      <c r="B42" s="2" t="s">
        <v>84</v>
      </c>
      <c r="C42" s="15">
        <v>37.088000000000001</v>
      </c>
      <c r="D42" s="15">
        <v>-3.653</v>
      </c>
      <c r="E42" s="15">
        <v>-4.6609999999999996</v>
      </c>
      <c r="F42" s="15">
        <v>40.067999999999998</v>
      </c>
      <c r="G42" s="15">
        <v>-95.325000000000003</v>
      </c>
      <c r="K42" s="22" t="s">
        <v>65</v>
      </c>
      <c r="L42" s="15"/>
      <c r="M42" s="15"/>
      <c r="N42" s="15"/>
      <c r="O42" s="15"/>
      <c r="P42" s="15"/>
    </row>
    <row r="43" spans="2:16" x14ac:dyDescent="0.25">
      <c r="B43" s="2" t="s">
        <v>83</v>
      </c>
      <c r="C43" s="15">
        <v>-86.86</v>
      </c>
      <c r="D43" s="15">
        <v>-34.323</v>
      </c>
      <c r="E43" s="15">
        <v>53.311999999999998</v>
      </c>
      <c r="F43" s="15">
        <v>2280.2330000000002</v>
      </c>
      <c r="G43" s="15">
        <v>1021.173</v>
      </c>
      <c r="K43" s="23" t="s">
        <v>66</v>
      </c>
      <c r="L43" s="15">
        <v>6108.9930000000004</v>
      </c>
      <c r="M43" s="15">
        <v>6797.2160000000003</v>
      </c>
      <c r="N43" s="15">
        <v>7711.2610000000004</v>
      </c>
      <c r="O43" s="15">
        <v>124.736</v>
      </c>
      <c r="P43" s="15">
        <v>438.82</v>
      </c>
    </row>
    <row r="44" spans="2:16" x14ac:dyDescent="0.25">
      <c r="B44" s="30" t="s">
        <v>85</v>
      </c>
      <c r="C44" s="31">
        <f>SUM(C41:C43)</f>
        <v>-2.6779999999999973</v>
      </c>
      <c r="D44" s="31">
        <f t="shared" ref="D44:F44" si="24">SUM(D41:D43)</f>
        <v>-12.111000000000001</v>
      </c>
      <c r="E44" s="31">
        <f t="shared" si="24"/>
        <v>-39.236000000000004</v>
      </c>
      <c r="F44" s="31">
        <f t="shared" si="24"/>
        <v>840.58400000000006</v>
      </c>
      <c r="G44" s="31">
        <f>SUM(G41:G43)</f>
        <v>-599.98</v>
      </c>
      <c r="K44" s="23" t="s">
        <v>67</v>
      </c>
      <c r="L44" s="15">
        <f>64.026+1364.461</f>
        <v>1428.4870000000001</v>
      </c>
      <c r="M44" s="15">
        <f>74.093+1518.135</f>
        <v>1592.2280000000001</v>
      </c>
      <c r="N44" s="15">
        <f>240.868+1340.041</f>
        <v>1580.9089999999999</v>
      </c>
      <c r="O44" s="15">
        <f>178.142+749.844</f>
        <v>927.9860000000001</v>
      </c>
      <c r="P44" s="15">
        <f>507.18+619.574</f>
        <v>1126.7539999999999</v>
      </c>
    </row>
    <row r="45" spans="2:16" x14ac:dyDescent="0.25">
      <c r="B45" s="6" t="s">
        <v>86</v>
      </c>
      <c r="C45" s="15">
        <v>127.077</v>
      </c>
      <c r="D45" s="15">
        <v>124.4</v>
      </c>
      <c r="E45" s="15">
        <v>112.289</v>
      </c>
      <c r="F45" s="15">
        <v>73.052000000000007</v>
      </c>
      <c r="G45" s="15">
        <v>913.63599999999997</v>
      </c>
      <c r="K45" s="23" t="s">
        <v>68</v>
      </c>
      <c r="L45" s="15">
        <v>5.1630000000000003</v>
      </c>
      <c r="M45" s="15">
        <v>10.257999999999999</v>
      </c>
      <c r="N45" s="15">
        <v>12.840999999999999</v>
      </c>
      <c r="O45" s="15">
        <v>10.755000000000001</v>
      </c>
      <c r="P45" s="15">
        <v>25.844999999999999</v>
      </c>
    </row>
    <row r="46" spans="2:16" x14ac:dyDescent="0.25">
      <c r="B46" s="9" t="s">
        <v>96</v>
      </c>
      <c r="C46" s="26">
        <f>C45+C44</f>
        <v>124.399</v>
      </c>
      <c r="D46" s="26">
        <f t="shared" ref="D46:G46" si="25">D45+D44</f>
        <v>112.289</v>
      </c>
      <c r="E46" s="26">
        <f t="shared" si="25"/>
        <v>73.052999999999997</v>
      </c>
      <c r="F46" s="26">
        <f>F45+F44</f>
        <v>913.63600000000008</v>
      </c>
      <c r="G46" s="26">
        <f t="shared" si="25"/>
        <v>313.65599999999995</v>
      </c>
      <c r="K46" s="23" t="s">
        <v>69</v>
      </c>
      <c r="L46" s="15">
        <v>208.363</v>
      </c>
      <c r="M46" s="15">
        <v>234.01499999999999</v>
      </c>
      <c r="N46" s="15">
        <v>300.15600000000001</v>
      </c>
      <c r="O46" s="15">
        <v>1572.5719999999999</v>
      </c>
      <c r="P46" s="15">
        <v>1571.624</v>
      </c>
    </row>
    <row r="47" spans="2:16" x14ac:dyDescent="0.25">
      <c r="K47" s="6" t="s">
        <v>70</v>
      </c>
      <c r="L47" s="15">
        <v>586.28300000000002</v>
      </c>
      <c r="M47" s="15">
        <v>691.70799999999997</v>
      </c>
      <c r="N47" s="15">
        <v>495.27699999999999</v>
      </c>
      <c r="O47" s="15">
        <v>1311.605</v>
      </c>
      <c r="P47" s="15">
        <v>1163.788</v>
      </c>
    </row>
    <row r="48" spans="2:16" x14ac:dyDescent="0.25">
      <c r="B48" s="38" t="s">
        <v>87</v>
      </c>
      <c r="C48" s="38"/>
      <c r="D48" s="38"/>
      <c r="E48" s="38"/>
      <c r="F48" s="38"/>
      <c r="G48" s="38"/>
      <c r="K48" s="6" t="s">
        <v>71</v>
      </c>
      <c r="L48" s="15">
        <v>33.963999999999999</v>
      </c>
      <c r="M48" s="15">
        <v>22.856000000000002</v>
      </c>
      <c r="N48" s="15">
        <v>3.6150000000000002</v>
      </c>
      <c r="O48" s="15">
        <v>8.8079999999999998</v>
      </c>
      <c r="P48" s="15">
        <v>43.039000000000001</v>
      </c>
    </row>
    <row r="49" spans="2:17" x14ac:dyDescent="0.25">
      <c r="B49" s="11" t="s">
        <v>1</v>
      </c>
      <c r="C49" s="12" t="s">
        <v>21</v>
      </c>
      <c r="D49" s="12" t="s">
        <v>2</v>
      </c>
      <c r="E49" s="12" t="s">
        <v>3</v>
      </c>
      <c r="F49" s="12" t="s">
        <v>4</v>
      </c>
      <c r="G49" s="12" t="s">
        <v>5</v>
      </c>
      <c r="K49" s="6" t="s">
        <v>80</v>
      </c>
      <c r="L49" s="15">
        <v>469.17</v>
      </c>
      <c r="M49" s="15">
        <v>469.17</v>
      </c>
      <c r="N49" s="15">
        <v>469.17</v>
      </c>
      <c r="O49" s="15">
        <v>0</v>
      </c>
      <c r="P49" s="15">
        <v>0</v>
      </c>
    </row>
    <row r="50" spans="2:17" x14ac:dyDescent="0.25">
      <c r="B50" s="2" t="s">
        <v>88</v>
      </c>
      <c r="C50" s="15">
        <f>C41</f>
        <v>47.094000000000001</v>
      </c>
      <c r="D50" s="15">
        <f t="shared" ref="D50:G50" si="26">D41</f>
        <v>25.864999999999998</v>
      </c>
      <c r="E50" s="15">
        <f t="shared" si="26"/>
        <v>-87.887</v>
      </c>
      <c r="F50" s="15">
        <f t="shared" si="26"/>
        <v>-1479.7170000000001</v>
      </c>
      <c r="G50" s="15">
        <f t="shared" si="26"/>
        <v>-1525.828</v>
      </c>
      <c r="K50" s="9" t="s">
        <v>78</v>
      </c>
      <c r="L50" s="26">
        <f>SUM(L43:L49)</f>
        <v>8840.4230000000007</v>
      </c>
      <c r="M50" s="26">
        <f t="shared" ref="M50:P50" si="27">SUM(M43:M49)</f>
        <v>9817.4509999999991</v>
      </c>
      <c r="N50" s="26">
        <f t="shared" si="27"/>
        <v>10573.229000000001</v>
      </c>
      <c r="O50" s="26">
        <f t="shared" si="27"/>
        <v>3956.462</v>
      </c>
      <c r="P50" s="26">
        <f t="shared" si="27"/>
        <v>4369.87</v>
      </c>
    </row>
    <row r="51" spans="2:17" x14ac:dyDescent="0.25">
      <c r="B51" s="2" t="s">
        <v>89</v>
      </c>
      <c r="C51" s="15">
        <v>0</v>
      </c>
      <c r="D51" s="15">
        <v>-3.653</v>
      </c>
      <c r="E51" s="15">
        <v>-4.6609999999999996</v>
      </c>
      <c r="F51" s="15">
        <f>-6.399-15.882</f>
        <v>-22.280999999999999</v>
      </c>
      <c r="G51" s="15">
        <v>-95.402000000000001</v>
      </c>
      <c r="K51" s="9" t="s">
        <v>77</v>
      </c>
      <c r="L51" s="26">
        <f>L33+L40+L50</f>
        <v>8709.8650000000016</v>
      </c>
      <c r="M51" s="26">
        <f>M33+M40+M50</f>
        <v>8178.95</v>
      </c>
      <c r="N51" s="26">
        <f>N33+N40+N50</f>
        <v>7302.84</v>
      </c>
      <c r="O51" s="26">
        <f>O33+O40+O50</f>
        <v>9211.1059999999998</v>
      </c>
      <c r="P51" s="26">
        <f>P33+P40+P50</f>
        <v>10902.085999999999</v>
      </c>
    </row>
    <row r="52" spans="2:17" x14ac:dyDescent="0.25">
      <c r="B52" s="8" t="s">
        <v>87</v>
      </c>
      <c r="C52" s="26">
        <f>C50+C51</f>
        <v>47.094000000000001</v>
      </c>
      <c r="D52" s="26">
        <f>D50+D51</f>
        <v>22.212</v>
      </c>
      <c r="E52" s="26">
        <f>E50+E51</f>
        <v>-92.548000000000002</v>
      </c>
      <c r="F52" s="26">
        <f>F50+F51</f>
        <v>-1501.998</v>
      </c>
      <c r="G52" s="26">
        <f>G50+G51</f>
        <v>-1621.23</v>
      </c>
    </row>
    <row r="53" spans="2:17" x14ac:dyDescent="0.25">
      <c r="K53" s="38" t="s">
        <v>97</v>
      </c>
      <c r="L53" s="38"/>
      <c r="M53" s="38"/>
      <c r="N53" s="38"/>
      <c r="O53" s="38"/>
      <c r="P53" s="38"/>
      <c r="Q53" s="38"/>
    </row>
    <row r="54" spans="2:17" x14ac:dyDescent="0.25">
      <c r="B54" s="45" t="s">
        <v>90</v>
      </c>
      <c r="C54" s="46"/>
      <c r="D54" s="46"/>
      <c r="E54" s="46"/>
      <c r="F54" s="46"/>
      <c r="G54" s="46"/>
      <c r="H54" s="46"/>
      <c r="K54" s="11" t="s">
        <v>1</v>
      </c>
      <c r="L54" s="12" t="s">
        <v>21</v>
      </c>
      <c r="M54" s="12" t="s">
        <v>2</v>
      </c>
      <c r="N54" s="12" t="s">
        <v>3</v>
      </c>
      <c r="O54" s="12" t="s">
        <v>4</v>
      </c>
      <c r="P54" s="12" t="s">
        <v>5</v>
      </c>
      <c r="Q54" s="12" t="s">
        <v>6</v>
      </c>
    </row>
    <row r="55" spans="2:17" x14ac:dyDescent="0.25">
      <c r="B55" s="11" t="s">
        <v>1</v>
      </c>
      <c r="C55" s="12" t="s">
        <v>21</v>
      </c>
      <c r="D55" s="12" t="s">
        <v>2</v>
      </c>
      <c r="E55" s="12" t="s">
        <v>3</v>
      </c>
      <c r="F55" s="12" t="s">
        <v>4</v>
      </c>
      <c r="G55" s="12" t="s">
        <v>5</v>
      </c>
      <c r="H55" s="12" t="s">
        <v>113</v>
      </c>
      <c r="K55" s="20" t="s">
        <v>98</v>
      </c>
      <c r="L55" s="15">
        <v>22.95</v>
      </c>
      <c r="M55" s="15">
        <v>19</v>
      </c>
      <c r="N55" s="15">
        <v>107.6</v>
      </c>
      <c r="O55" s="15">
        <v>117.51</v>
      </c>
      <c r="P55" s="15">
        <v>105.8</v>
      </c>
      <c r="Q55" s="15">
        <v>107.93</v>
      </c>
    </row>
    <row r="56" spans="2:17" x14ac:dyDescent="0.25">
      <c r="B56" s="20" t="s">
        <v>91</v>
      </c>
      <c r="C56" s="15">
        <v>71.858954999999995</v>
      </c>
      <c r="D56" s="15">
        <v>71.858954999999995</v>
      </c>
      <c r="E56" s="15">
        <v>71.858954999999995</v>
      </c>
      <c r="F56" s="15">
        <v>228.72195500000001</v>
      </c>
      <c r="G56" s="15">
        <v>240.50241800000001</v>
      </c>
      <c r="H56" s="15">
        <v>240.51610500000001</v>
      </c>
      <c r="K56" s="20" t="s">
        <v>99</v>
      </c>
      <c r="L56" s="17">
        <f>C35</f>
        <v>-17.55</v>
      </c>
      <c r="M56" s="17">
        <f t="shared" ref="M56:Q56" si="28">D35</f>
        <v>-21.05</v>
      </c>
      <c r="N56" s="17">
        <f t="shared" si="28"/>
        <v>-22.68</v>
      </c>
      <c r="O56" s="17">
        <f t="shared" si="28"/>
        <v>-74.59</v>
      </c>
      <c r="P56" s="17">
        <f t="shared" si="28"/>
        <v>1.19</v>
      </c>
      <c r="Q56" s="17">
        <f t="shared" si="28"/>
        <v>-0.43</v>
      </c>
    </row>
    <row r="57" spans="2:17" x14ac:dyDescent="0.25">
      <c r="B57" s="20" t="s">
        <v>92</v>
      </c>
      <c r="C57" s="15">
        <v>10</v>
      </c>
      <c r="D57" s="15">
        <v>10</v>
      </c>
      <c r="E57" s="15">
        <v>10</v>
      </c>
      <c r="F57" s="15">
        <v>10</v>
      </c>
      <c r="G57" s="15">
        <v>10</v>
      </c>
      <c r="H57" s="15">
        <v>10</v>
      </c>
      <c r="K57" s="20" t="s">
        <v>100</v>
      </c>
      <c r="L57" s="15">
        <f>L33/C56</f>
        <v>-29.998682836398046</v>
      </c>
      <c r="M57" s="15">
        <f t="shared" ref="M57:P57" si="29">M33/D56</f>
        <v>-51.004735596280234</v>
      </c>
      <c r="N57" s="15">
        <f t="shared" si="29"/>
        <v>-73.674185771279326</v>
      </c>
      <c r="O57" s="15">
        <f t="shared" si="29"/>
        <v>10.780268120740748</v>
      </c>
      <c r="P57" s="15">
        <f t="shared" si="29"/>
        <v>15.156267576486487</v>
      </c>
      <c r="Q57" s="32" t="s">
        <v>33</v>
      </c>
    </row>
    <row r="58" spans="2:17" x14ac:dyDescent="0.25">
      <c r="B58" s="20" t="s">
        <v>93</v>
      </c>
      <c r="C58" s="15">
        <f>C56*L55</f>
        <v>1649.1630172499997</v>
      </c>
      <c r="D58" s="15">
        <f t="shared" ref="D58:F58" si="30">D56*M55</f>
        <v>1365.3201449999999</v>
      </c>
      <c r="E58" s="15">
        <f t="shared" si="30"/>
        <v>7732.023557999999</v>
      </c>
      <c r="F58" s="15">
        <f t="shared" si="30"/>
        <v>26877.116932050001</v>
      </c>
      <c r="G58" s="15">
        <f>G56*P55</f>
        <v>25445.155824400001</v>
      </c>
      <c r="H58" s="15">
        <f>H56*Q55</f>
        <v>25958.903212650002</v>
      </c>
      <c r="K58" s="20" t="s">
        <v>101</v>
      </c>
      <c r="L58" s="32" t="s">
        <v>33</v>
      </c>
      <c r="M58" s="32" t="s">
        <v>33</v>
      </c>
      <c r="N58" s="32" t="s">
        <v>33</v>
      </c>
      <c r="O58" s="32" t="s">
        <v>33</v>
      </c>
      <c r="P58" s="32" t="s">
        <v>33</v>
      </c>
      <c r="Q58" s="32" t="s">
        <v>33</v>
      </c>
    </row>
    <row r="59" spans="2:17" x14ac:dyDescent="0.25">
      <c r="B59" s="20" t="s">
        <v>94</v>
      </c>
      <c r="C59" s="15">
        <f>2000.263+6108.993</f>
        <v>8109.2560000000003</v>
      </c>
      <c r="D59" s="15">
        <f>2000+6797.216</f>
        <v>8797.2160000000003</v>
      </c>
      <c r="E59" s="15">
        <f>2000+7711.261</f>
        <v>9711.2610000000004</v>
      </c>
      <c r="F59" s="15">
        <f>2567.129+124.736</f>
        <v>2691.8649999999998</v>
      </c>
      <c r="G59" s="15">
        <f>P36+P43</f>
        <v>3041.9490000000001</v>
      </c>
      <c r="H59" s="15">
        <f>2603.129+438.82</f>
        <v>3041.9490000000001</v>
      </c>
      <c r="K59" s="20" t="s">
        <v>102</v>
      </c>
      <c r="L59" s="32" t="str">
        <f>IF(L55/L56&gt;0,L55/L56,"NA")</f>
        <v>NA</v>
      </c>
      <c r="M59" s="32" t="str">
        <f t="shared" ref="M59:Q59" si="31">IF(M55/M56&gt;0,M55/M56,"NA")</f>
        <v>NA</v>
      </c>
      <c r="N59" s="32" t="str">
        <f t="shared" si="31"/>
        <v>NA</v>
      </c>
      <c r="O59" s="32" t="str">
        <f t="shared" si="31"/>
        <v>NA</v>
      </c>
      <c r="P59" s="32">
        <f t="shared" si="31"/>
        <v>88.907563025210081</v>
      </c>
      <c r="Q59" s="32" t="str">
        <f t="shared" si="31"/>
        <v>NA</v>
      </c>
    </row>
    <row r="60" spans="2:17" x14ac:dyDescent="0.25">
      <c r="B60" s="20" t="s">
        <v>95</v>
      </c>
      <c r="C60" s="15">
        <v>124.4</v>
      </c>
      <c r="D60" s="15">
        <v>112.289</v>
      </c>
      <c r="E60" s="15">
        <v>73.052000000000007</v>
      </c>
      <c r="F60" s="15">
        <v>913.63599999999997</v>
      </c>
      <c r="G60" s="15">
        <f>G46</f>
        <v>313.65599999999995</v>
      </c>
      <c r="H60" s="15">
        <v>313.65600000000001</v>
      </c>
      <c r="K60" s="20" t="s">
        <v>103</v>
      </c>
      <c r="L60" s="36" t="str">
        <f>IF(L55/L57&gt;0,L55/L57,"NA")</f>
        <v>NA</v>
      </c>
      <c r="M60" s="36" t="str">
        <f t="shared" ref="M60:P60" si="32">IF(M55/M57&gt;0,M55/M57,"NA")</f>
        <v>NA</v>
      </c>
      <c r="N60" s="36" t="str">
        <f t="shared" si="32"/>
        <v>NA</v>
      </c>
      <c r="O60" s="36">
        <f t="shared" si="32"/>
        <v>10.900470997925931</v>
      </c>
      <c r="P60" s="36">
        <f t="shared" si="32"/>
        <v>6.9806104613868571</v>
      </c>
      <c r="Q60" s="36" t="s">
        <v>33</v>
      </c>
    </row>
    <row r="61" spans="2:17" x14ac:dyDescent="0.25">
      <c r="B61" s="8" t="s">
        <v>90</v>
      </c>
      <c r="C61" s="26">
        <f>C58+C59-C60</f>
        <v>9634.0190172500006</v>
      </c>
      <c r="D61" s="26">
        <f t="shared" ref="D61:F61" si="33">D58+D59-D60</f>
        <v>10050.247144999999</v>
      </c>
      <c r="E61" s="26">
        <f t="shared" si="33"/>
        <v>17370.232558</v>
      </c>
      <c r="F61" s="26">
        <f t="shared" si="33"/>
        <v>28655.345932050004</v>
      </c>
      <c r="G61" s="26">
        <f>G58+G59-G60</f>
        <v>28173.448824400002</v>
      </c>
      <c r="H61" s="26">
        <f>H58+H59-H60</f>
        <v>28687.196212650004</v>
      </c>
      <c r="K61" s="20" t="s">
        <v>104</v>
      </c>
      <c r="L61" s="33" t="str">
        <f>IF(C61/C13&lt;0,"NA",C61/C13)</f>
        <v>NA</v>
      </c>
      <c r="M61" s="33" t="str">
        <f t="shared" ref="M61:P61" si="34">IF(D61/D13&lt;0,"NA",D61/D13)</f>
        <v>NA</v>
      </c>
      <c r="N61" s="33" t="str">
        <f t="shared" si="34"/>
        <v>NA</v>
      </c>
      <c r="O61" s="33" t="str">
        <f t="shared" si="34"/>
        <v>NA</v>
      </c>
      <c r="P61" s="32">
        <f t="shared" si="34"/>
        <v>112.8002787607501</v>
      </c>
      <c r="Q61" s="33" t="s">
        <v>33</v>
      </c>
    </row>
    <row r="62" spans="2:17" x14ac:dyDescent="0.25">
      <c r="K62" s="20" t="s">
        <v>105</v>
      </c>
      <c r="L62" s="35">
        <f>C4/(SUM(L6:L8))</f>
        <v>1.1134292815651081</v>
      </c>
      <c r="M62" s="35">
        <f t="shared" ref="M62:P62" si="35">D4/(SUM(M6:M8))</f>
        <v>1.1218558242521648</v>
      </c>
      <c r="N62" s="35">
        <f t="shared" si="35"/>
        <v>1.0338314578167715</v>
      </c>
      <c r="O62" s="35">
        <f t="shared" si="35"/>
        <v>2.9645342121516438</v>
      </c>
      <c r="P62" s="35">
        <f t="shared" si="35"/>
        <v>5.5827648399686449</v>
      </c>
      <c r="Q62" s="35" t="s">
        <v>33</v>
      </c>
    </row>
    <row r="63" spans="2:17" x14ac:dyDescent="0.25">
      <c r="K63" s="20" t="s">
        <v>106</v>
      </c>
      <c r="L63" s="34" t="str">
        <f>IF(L33&lt;0,"NA",(C25-C21)/L33)</f>
        <v>NA</v>
      </c>
      <c r="M63" s="34" t="str">
        <f t="shared" ref="M63:P63" si="36">IF(M33&lt;0,"NA",(D25-D21)/M33)</f>
        <v>NA</v>
      </c>
      <c r="N63" s="34" t="str">
        <f t="shared" si="36"/>
        <v>NA</v>
      </c>
      <c r="O63" s="34">
        <f t="shared" si="36"/>
        <v>-1.1329971723870538</v>
      </c>
      <c r="P63" s="34">
        <f t="shared" si="36"/>
        <v>8.9710102742873443E-2</v>
      </c>
      <c r="Q63" s="34" t="s">
        <v>33</v>
      </c>
    </row>
    <row r="64" spans="2:17" x14ac:dyDescent="0.25">
      <c r="K64" s="20" t="s">
        <v>107</v>
      </c>
      <c r="L64" s="34">
        <f>(C20+C19)/(SUM(L30:L31,L36,L43))</f>
        <v>-0.10090313211820924</v>
      </c>
      <c r="M64" s="34">
        <f t="shared" ref="M64:P64" si="37">(D20+D19)/(SUM(M30:M31,M36,M43))</f>
        <v>-0.11694956344827044</v>
      </c>
      <c r="N64" s="34">
        <f t="shared" si="37"/>
        <v>-0.14635496160336597</v>
      </c>
      <c r="O64" s="34">
        <f t="shared" si="37"/>
        <v>-0.4055152510703075</v>
      </c>
      <c r="P64" s="34">
        <f t="shared" si="37"/>
        <v>6.4257704044226205E-2</v>
      </c>
      <c r="Q64" s="34" t="s">
        <v>33</v>
      </c>
    </row>
    <row r="65" spans="11:17" x14ac:dyDescent="0.25">
      <c r="K65" s="20" t="s">
        <v>108</v>
      </c>
      <c r="L65" s="35">
        <f>(L36+L43)/L33</f>
        <v>-3.7618192732296265</v>
      </c>
      <c r="M65" s="35">
        <f t="shared" ref="M65:P65" si="38">(M36+M43)/M33</f>
        <v>-2.4002355157924091</v>
      </c>
      <c r="N65" s="35">
        <f t="shared" si="38"/>
        <v>-1.8343380901561157</v>
      </c>
      <c r="O65" s="35">
        <f t="shared" si="38"/>
        <v>1.0917315438636903</v>
      </c>
      <c r="P65" s="35">
        <f t="shared" si="38"/>
        <v>0.83452666428722899</v>
      </c>
      <c r="Q65" s="35" t="s">
        <v>33</v>
      </c>
    </row>
    <row r="66" spans="11:17" x14ac:dyDescent="0.25">
      <c r="K66" s="20" t="s">
        <v>109</v>
      </c>
      <c r="L66" s="35">
        <f>(L36+L43-L21)/L33</f>
        <v>-3.704111103998101</v>
      </c>
      <c r="M66" s="35">
        <f t="shared" ref="M66:P66" si="39">(M36+M43-M21)/M33</f>
        <v>-2.369598545433512</v>
      </c>
      <c r="N66" s="35">
        <f t="shared" si="39"/>
        <v>-1.8205394633699461</v>
      </c>
      <c r="O66" s="35">
        <f t="shared" si="39"/>
        <v>0.72119095553201451</v>
      </c>
      <c r="P66" s="35">
        <f t="shared" si="39"/>
        <v>0.74847844473664649</v>
      </c>
      <c r="Q66" s="35" t="s">
        <v>33</v>
      </c>
    </row>
    <row r="67" spans="11:17" x14ac:dyDescent="0.25">
      <c r="K67" s="20" t="s">
        <v>110</v>
      </c>
      <c r="L67" s="32" t="s">
        <v>33</v>
      </c>
      <c r="M67" s="32" t="s">
        <v>33</v>
      </c>
      <c r="N67" s="32" t="s">
        <v>33</v>
      </c>
      <c r="O67" s="32" t="s">
        <v>33</v>
      </c>
      <c r="P67" s="32" t="s">
        <v>33</v>
      </c>
      <c r="Q67" s="32" t="s">
        <v>33</v>
      </c>
    </row>
    <row r="68" spans="11:17" x14ac:dyDescent="0.25">
      <c r="K68" s="20" t="s">
        <v>111</v>
      </c>
      <c r="L68" s="2">
        <v>2.76</v>
      </c>
      <c r="M68" s="2">
        <v>4.0599999999999996</v>
      </c>
      <c r="N68" s="2">
        <v>5.81</v>
      </c>
      <c r="O68" s="2">
        <v>6.14</v>
      </c>
      <c r="P68" s="37">
        <f>G4/((O20+P20)/2)</f>
        <v>4.6541684824727305</v>
      </c>
      <c r="Q68" s="32" t="s">
        <v>33</v>
      </c>
    </row>
    <row r="69" spans="11:17" x14ac:dyDescent="0.25">
      <c r="K69" s="20" t="s">
        <v>112</v>
      </c>
      <c r="L69" s="2">
        <v>2.97</v>
      </c>
      <c r="M69" s="2">
        <v>4.67</v>
      </c>
      <c r="N69" s="2">
        <v>4.16</v>
      </c>
      <c r="O69" s="2">
        <v>3.97</v>
      </c>
      <c r="P69" s="37">
        <f>SUM(G8:G10)/((SUM(P17:P18)+SUM(O17:O18))/2)</f>
        <v>0.87071822460207593</v>
      </c>
      <c r="Q69" s="32" t="s">
        <v>33</v>
      </c>
    </row>
  </sheetData>
  <mergeCells count="6">
    <mergeCell ref="B48:G48"/>
    <mergeCell ref="K53:Q53"/>
    <mergeCell ref="B2:H2"/>
    <mergeCell ref="K2:P2"/>
    <mergeCell ref="B39:G39"/>
    <mergeCell ref="B54:H54"/>
  </mergeCells>
  <pageMargins left="0.7" right="0.7" top="0.75" bottom="0.75" header="0.3" footer="0.3"/>
  <pageSetup orientation="portrait" r:id="rId1"/>
  <ignoredErrors>
    <ignoredError sqref="G25" formula="1"/>
    <ignoredError sqref="L64:Q64 L62:Q6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2026-08-17T05:46:31Z</dcterms:created>
  <dcterms:modified xsi:type="dcterms:W3CDTF">2026-08-26T06:04:54Z</dcterms:modified>
</cp:coreProperties>
</file>