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3D9D547-8EE1-4631-8233-573AECE9C2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Sheet1!$B$2:$J$69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N60" i="1"/>
  <c r="N57" i="1"/>
  <c r="E46" i="1"/>
  <c r="E45" i="1"/>
  <c r="E43" i="1"/>
  <c r="E42" i="1"/>
  <c r="L61" i="1"/>
  <c r="M61" i="1"/>
  <c r="O57" i="1"/>
  <c r="M71" i="1"/>
  <c r="M70" i="1"/>
  <c r="M69" i="1"/>
  <c r="G24" i="1"/>
  <c r="G25" i="1"/>
  <c r="G16" i="1"/>
  <c r="G19" i="1" s="1"/>
  <c r="G55" i="1"/>
  <c r="G58" i="1" s="1"/>
  <c r="C55" i="1"/>
  <c r="K57" i="1"/>
  <c r="L57" i="1"/>
  <c r="M57" i="1"/>
  <c r="J57" i="1"/>
  <c r="D50" i="1"/>
  <c r="D25" i="1"/>
  <c r="D20" i="1"/>
  <c r="D13" i="1"/>
  <c r="J38" i="1"/>
  <c r="J15" i="1"/>
  <c r="J26" i="1"/>
  <c r="K26" i="1"/>
  <c r="L38" i="1"/>
  <c r="M38" i="1"/>
  <c r="G27" i="1" l="1"/>
  <c r="G29" i="1" s="1"/>
  <c r="G30" i="1" s="1"/>
  <c r="F44" i="1"/>
  <c r="E44" i="1"/>
  <c r="D44" i="1"/>
  <c r="C44" i="1"/>
  <c r="F43" i="1"/>
  <c r="D43" i="1"/>
  <c r="C43" i="1"/>
  <c r="F42" i="1"/>
  <c r="D42" i="1"/>
  <c r="C42" i="1"/>
  <c r="F32" i="1"/>
  <c r="D32" i="1"/>
  <c r="E32" i="1"/>
  <c r="C32" i="1"/>
  <c r="F25" i="1"/>
  <c r="E25" i="1"/>
  <c r="C25" i="1"/>
  <c r="E23" i="1"/>
  <c r="F22" i="1"/>
  <c r="E22" i="1"/>
  <c r="D22" i="1"/>
  <c r="C22" i="1"/>
  <c r="F21" i="1"/>
  <c r="E21" i="1"/>
  <c r="D21" i="1"/>
  <c r="C21" i="1"/>
  <c r="F20" i="1"/>
  <c r="E20" i="1"/>
  <c r="C20" i="1"/>
  <c r="D14" i="1"/>
  <c r="C14" i="1"/>
  <c r="C13" i="1"/>
  <c r="C12" i="1"/>
  <c r="G26" i="1" l="1"/>
  <c r="C45" i="1"/>
  <c r="C46" i="1" s="1"/>
  <c r="D41" i="1" s="1"/>
  <c r="D45" i="1"/>
  <c r="F8" i="1"/>
  <c r="F16" i="1" s="1"/>
  <c r="M68" i="1" l="1"/>
  <c r="L26" i="1" l="1"/>
  <c r="M26" i="1"/>
  <c r="F55" i="1"/>
  <c r="E55" i="1"/>
  <c r="F49" i="1" l="1"/>
  <c r="F51" i="1" s="1"/>
  <c r="M73" i="1"/>
  <c r="M67" i="1"/>
  <c r="M60" i="1"/>
  <c r="F57" i="1"/>
  <c r="F45" i="1"/>
  <c r="M45" i="1"/>
  <c r="M36" i="1"/>
  <c r="M15" i="1"/>
  <c r="M11" i="1"/>
  <c r="F56" i="1" s="1"/>
  <c r="M8" i="1"/>
  <c r="M58" i="1" s="1"/>
  <c r="F38" i="1"/>
  <c r="E37" i="1"/>
  <c r="F37" i="1"/>
  <c r="M75" i="1"/>
  <c r="F7" i="1"/>
  <c r="F6" i="1"/>
  <c r="M52" i="1" l="1"/>
  <c r="F58" i="1"/>
  <c r="M62" i="1" s="1"/>
  <c r="M12" i="1"/>
  <c r="M64" i="1" s="1"/>
  <c r="M51" i="1"/>
  <c r="M13" i="1" s="1"/>
  <c r="M65" i="1"/>
  <c r="M66" i="1"/>
  <c r="M74" i="1"/>
  <c r="M44" i="1"/>
  <c r="F24" i="1"/>
  <c r="F27" i="1" s="1"/>
  <c r="F19" i="1"/>
  <c r="E57" i="1"/>
  <c r="E49" i="1"/>
  <c r="E51" i="1" s="1"/>
  <c r="L45" i="1"/>
  <c r="L36" i="1"/>
  <c r="L15" i="1"/>
  <c r="L11" i="1"/>
  <c r="E56" i="1" s="1"/>
  <c r="L8" i="1"/>
  <c r="L58" i="1" s="1"/>
  <c r="K8" i="1"/>
  <c r="K11" i="1"/>
  <c r="K15" i="1"/>
  <c r="K51" i="1" s="1"/>
  <c r="L60" i="1"/>
  <c r="L67" i="1"/>
  <c r="L68" i="1"/>
  <c r="L73" i="1"/>
  <c r="E6" i="1"/>
  <c r="E8" i="1"/>
  <c r="K73" i="1"/>
  <c r="K68" i="1"/>
  <c r="K67" i="1"/>
  <c r="D55" i="1"/>
  <c r="D37" i="1"/>
  <c r="D8" i="1"/>
  <c r="K70" i="1" s="1"/>
  <c r="E16" i="1" l="1"/>
  <c r="L75" i="1" s="1"/>
  <c r="F29" i="1"/>
  <c r="M63" i="1" s="1"/>
  <c r="F26" i="1"/>
  <c r="M76" i="1" s="1"/>
  <c r="E58" i="1"/>
  <c r="L74" i="1"/>
  <c r="L12" i="1"/>
  <c r="L70" i="1"/>
  <c r="L51" i="1"/>
  <c r="L13" i="1" s="1"/>
  <c r="L65" i="1"/>
  <c r="L52" i="1"/>
  <c r="L66" i="1"/>
  <c r="L44" i="1"/>
  <c r="M72" i="1" s="1"/>
  <c r="L69" i="1"/>
  <c r="D16" i="1"/>
  <c r="K69" i="1"/>
  <c r="K71" i="1" s="1"/>
  <c r="K60" i="1"/>
  <c r="K45" i="1"/>
  <c r="K36" i="1"/>
  <c r="K44" i="1" s="1"/>
  <c r="C49" i="1"/>
  <c r="D49" i="1"/>
  <c r="D51" i="1" s="1"/>
  <c r="D46" i="1"/>
  <c r="F41" i="1" s="1"/>
  <c r="F46" i="1" s="1"/>
  <c r="E19" i="1" l="1"/>
  <c r="L64" i="1"/>
  <c r="F17" i="1"/>
  <c r="L62" i="1"/>
  <c r="F30" i="1"/>
  <c r="E24" i="1"/>
  <c r="E27" i="1" s="1"/>
  <c r="E29" i="1" s="1"/>
  <c r="K52" i="1"/>
  <c r="E17" i="1"/>
  <c r="D24" i="1"/>
  <c r="D27" i="1" s="1"/>
  <c r="D29" i="1" s="1"/>
  <c r="D33" i="1" s="1"/>
  <c r="K12" i="1"/>
  <c r="K64" i="1" s="1"/>
  <c r="F33" i="1"/>
  <c r="L71" i="1"/>
  <c r="K75" i="1"/>
  <c r="K58" i="1"/>
  <c r="K61" i="1" s="1"/>
  <c r="K74" i="1"/>
  <c r="K65" i="1"/>
  <c r="D56" i="1"/>
  <c r="D57" i="1"/>
  <c r="K66" i="1"/>
  <c r="L63" i="1" l="1"/>
  <c r="E30" i="1"/>
  <c r="E26" i="1"/>
  <c r="L76" i="1" s="1"/>
  <c r="E33" i="1"/>
  <c r="F34" i="1" s="1"/>
  <c r="K13" i="1"/>
  <c r="D58" i="1"/>
  <c r="K62" i="1" s="1"/>
  <c r="L72" i="1"/>
  <c r="D19" i="1"/>
  <c r="D26" i="1" l="1"/>
  <c r="K76" i="1" s="1"/>
  <c r="J68" i="1"/>
  <c r="J73" i="1"/>
  <c r="K63" i="1" l="1"/>
  <c r="E34" i="1"/>
  <c r="D30" i="1"/>
  <c r="J45" i="1"/>
  <c r="J36" i="1"/>
  <c r="C57" i="1"/>
  <c r="J67" i="1"/>
  <c r="C8" i="1"/>
  <c r="C16" i="1" l="1"/>
  <c r="F18" i="1" s="1"/>
  <c r="J69" i="1"/>
  <c r="J70" i="1"/>
  <c r="J71" i="1" l="1"/>
  <c r="J75" i="1"/>
  <c r="C24" i="1"/>
  <c r="C27" i="1" s="1"/>
  <c r="C29" i="1" s="1"/>
  <c r="D17" i="1"/>
  <c r="J60" i="1"/>
  <c r="C51" i="1" l="1"/>
  <c r="J8" i="1"/>
  <c r="J11" i="1"/>
  <c r="C56" i="1" l="1"/>
  <c r="C58" i="1" s="1"/>
  <c r="J62" i="1" s="1"/>
  <c r="J12" i="1"/>
  <c r="J64" i="1" s="1"/>
  <c r="J52" i="1"/>
  <c r="J51" i="1"/>
  <c r="J13" i="1" s="1"/>
  <c r="J44" i="1"/>
  <c r="K72" i="1" s="1"/>
  <c r="J65" i="1"/>
  <c r="J66" i="1"/>
  <c r="J74" i="1"/>
  <c r="J58" i="1"/>
  <c r="J61" i="1" s="1"/>
  <c r="C19" i="1"/>
  <c r="J63" i="1" l="1"/>
  <c r="C26" i="1"/>
  <c r="J76" i="1" s="1"/>
  <c r="J72" i="1" l="1"/>
  <c r="C33" i="1"/>
  <c r="C30" i="1"/>
  <c r="D34" i="1" l="1"/>
  <c r="F35" i="1"/>
</calcChain>
</file>

<file path=xl/sharedStrings.xml><?xml version="1.0" encoding="utf-8"?>
<sst xmlns="http://schemas.openxmlformats.org/spreadsheetml/2006/main" count="194" uniqueCount="120">
  <si>
    <t>Income Statement</t>
  </si>
  <si>
    <t>Balance Sheet</t>
  </si>
  <si>
    <t>Y/E, Mar (Rs. mn)</t>
  </si>
  <si>
    <t xml:space="preserve">Operational Income </t>
  </si>
  <si>
    <t>Growth (%)</t>
  </si>
  <si>
    <t>CAGR (%) - 3 Years</t>
  </si>
  <si>
    <t>Networth/Shareholders Fund/ Book Value</t>
  </si>
  <si>
    <t>Expenditure</t>
  </si>
  <si>
    <t>Long Term Debt</t>
  </si>
  <si>
    <t>Short Term Debt</t>
  </si>
  <si>
    <t>Loans</t>
  </si>
  <si>
    <t>EBITDA</t>
  </si>
  <si>
    <t>Capital Employed</t>
  </si>
  <si>
    <t>EBITDA margin (%)</t>
  </si>
  <si>
    <t>NON CURRENT ASSETS</t>
  </si>
  <si>
    <t>Other Income</t>
  </si>
  <si>
    <t>Property, plant and Equipment</t>
  </si>
  <si>
    <t>Capital WIP</t>
  </si>
  <si>
    <t>Finance cost</t>
  </si>
  <si>
    <t>PBT</t>
  </si>
  <si>
    <t>Financial Assets</t>
  </si>
  <si>
    <t>Tax</t>
  </si>
  <si>
    <t>a) Investments</t>
  </si>
  <si>
    <t>Effective tax rate (%)</t>
  </si>
  <si>
    <t>PAT</t>
  </si>
  <si>
    <t>PAT margin (%)</t>
  </si>
  <si>
    <t>CURRENT ASSETS, LOANS &amp; ADVANCES</t>
  </si>
  <si>
    <t>Minority Interest</t>
  </si>
  <si>
    <t>Other Comprehensive Income</t>
  </si>
  <si>
    <t>CAGR (%)</t>
  </si>
  <si>
    <t>EPS</t>
  </si>
  <si>
    <t xml:space="preserve">Other Current Assets </t>
  </si>
  <si>
    <t>CURRENT LIABILITIES &amp; PROVISIONS</t>
  </si>
  <si>
    <t>Financial Liabilities</t>
  </si>
  <si>
    <t>a) Trade payables</t>
  </si>
  <si>
    <t>Other Current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</si>
  <si>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</si>
  <si>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</si>
  <si>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</si>
  <si>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</si>
  <si>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Deferred Tax Liability (Net)</t>
  </si>
  <si>
    <t>Cash Flow From Financing Activities</t>
  </si>
  <si>
    <t>TOTAL ASSETS</t>
  </si>
  <si>
    <t>Net Inc./(Dec.) in Cash and Cash Equivalents</t>
  </si>
  <si>
    <t>TOTAL LIABILITIES</t>
  </si>
  <si>
    <t>Cash and Cash Equivalents at end of the year</t>
  </si>
  <si>
    <t>KEY RATIOS</t>
  </si>
  <si>
    <t>Our Calculations</t>
  </si>
  <si>
    <t xml:space="preserve">Operating Cash Inflow </t>
  </si>
  <si>
    <t>CMP(INR)</t>
  </si>
  <si>
    <t>Capital Expenditure</t>
  </si>
  <si>
    <t>EPS (INR)</t>
  </si>
  <si>
    <t>FCF</t>
  </si>
  <si>
    <t>BVPS (INR)</t>
  </si>
  <si>
    <t>DPS (INR)</t>
  </si>
  <si>
    <t>P/E (x)</t>
  </si>
  <si>
    <t>No of Shares</t>
  </si>
  <si>
    <t>P/BV (x)</t>
  </si>
  <si>
    <t>Market Cap</t>
  </si>
  <si>
    <t>EV/EBIDTA (x)</t>
  </si>
  <si>
    <t>Total Debt</t>
  </si>
  <si>
    <t>ROE (%)</t>
  </si>
  <si>
    <t>Cash</t>
  </si>
  <si>
    <t>ROCE (%)</t>
  </si>
  <si>
    <t>EV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</si>
  <si>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</si>
  <si>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</si>
  <si>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</si>
  <si>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</si>
  <si>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</si>
  <si>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</si>
  <si>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</si>
  <si>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</si>
  <si>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Cost</t>
  </si>
  <si>
    <t xml:space="preserve">Interest Coverage </t>
  </si>
  <si>
    <t>Cost of debt</t>
  </si>
  <si>
    <t>Cost of material consumed</t>
  </si>
  <si>
    <t>Changes in inventories</t>
  </si>
  <si>
    <t>Employee benefit expense</t>
  </si>
  <si>
    <t>Depreciation and amotization expense</t>
  </si>
  <si>
    <t>Exception item</t>
  </si>
  <si>
    <t>Equity Share Capital</t>
  </si>
  <si>
    <t>Other Equity</t>
  </si>
  <si>
    <t xml:space="preserve">Other Intangible assets </t>
  </si>
  <si>
    <t>Other Non-current assets</t>
  </si>
  <si>
    <t>Inventories</t>
  </si>
  <si>
    <t>a) Trade Receivabes</t>
  </si>
  <si>
    <t>b) Cash &amp; Cash Equivalants</t>
  </si>
  <si>
    <t>Current Tax Liabilities</t>
  </si>
  <si>
    <t>NON CURRENT LIABILITIES</t>
  </si>
  <si>
    <t>Other Non-current liabilities</t>
  </si>
  <si>
    <t>Non-Controlling Interest</t>
  </si>
  <si>
    <t>Working Capital Days</t>
  </si>
  <si>
    <t>NET CURRENT ASSETS</t>
  </si>
  <si>
    <t>FY23</t>
  </si>
  <si>
    <t>Provisions</t>
  </si>
  <si>
    <t>FY24</t>
  </si>
  <si>
    <t>FY25</t>
  </si>
  <si>
    <t xml:space="preserve">Deffered Tax Assets (Net) </t>
  </si>
  <si>
    <t>FY26</t>
  </si>
  <si>
    <t>c) Other bank balances</t>
  </si>
  <si>
    <t>d)  Loans</t>
  </si>
  <si>
    <t xml:space="preserve">NCL Industries Ltd. </t>
  </si>
  <si>
    <t>Goodwill</t>
  </si>
  <si>
    <t>Manufacturing Expenses</t>
  </si>
  <si>
    <t>Selling &amp; Distribution Expenses</t>
  </si>
  <si>
    <t>Administration Expenses</t>
  </si>
  <si>
    <t>PAT from continuing operations</t>
  </si>
  <si>
    <t>Net Profit / (Loss) from discontinued operations</t>
  </si>
  <si>
    <t>Total Comprehensive Income</t>
  </si>
  <si>
    <t>Right-of-Use Assets</t>
  </si>
  <si>
    <t>Assets Held for Sale</t>
  </si>
  <si>
    <t>e) Other Financial Assets</t>
  </si>
  <si>
    <t>b) Other Financial Assets</t>
  </si>
  <si>
    <t xml:space="preserve">Lease Liabilities </t>
  </si>
  <si>
    <t>c)Other Financial Liabilities</t>
  </si>
  <si>
    <t>b)Lease Liabilities</t>
  </si>
  <si>
    <t>NA</t>
  </si>
  <si>
    <t>Q1-FY27</t>
  </si>
  <si>
    <t>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</si>
</sst>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64" formatCode="_ * #,##0.0_ ;_ * \-#,##0.0_ ;_ * &quot;-&quot;??_ ;_ @_ "/>
    <numFmt numFmtId="165" formatCode="0.0%"/>
    <numFmt numFmtId="166" formatCode="_ * #,##0.0000_ ;_ * \-#,##0.00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sz val="11"/>
      <color rgb="FF1F1F1F"/>
      <name val="Calibri"/>
      <family val="2"/>
      <scheme val="minor"/>
    </font>
    <font>
      <sz val="12"/>
      <color rgb="FF1F1F1F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6">
    <xf numFmtId="0" fontId="0" fillId="0" borderId="0" xfId="0"/>
    <xf numFmtId="10" fontId="0" fillId="0" borderId="0" xfId="2" applyNumberFormat="1" applyFont="1"/>
    <xf numFmtId="0" fontId="4" fillId="4" borderId="0" xfId="0" applyFont="1" applyFill="1"/>
    <xf numFmtId="0" fontId="3" fillId="2" borderId="1" xfId="0" applyFont="1" applyFill="1" applyBorder="1"/>
    <xf numFmtId="0" fontId="5" fillId="2" borderId="4" xfId="0" applyFont="1" applyFill="1" applyBorder="1" applyAlignment="1">
      <alignment horizontal="right"/>
    </xf>
    <xf numFmtId="0" fontId="5" fillId="2" borderId="1" xfId="0" applyFont="1" applyFill="1" applyBorder="1"/>
    <xf numFmtId="0" fontId="6" fillId="0" borderId="7" xfId="0" applyFont="1" applyBorder="1"/>
    <xf numFmtId="0" fontId="5" fillId="2" borderId="9" xfId="0" applyFont="1" applyFill="1" applyBorder="1"/>
    <xf numFmtId="43" fontId="5" fillId="2" borderId="10" xfId="1" applyFont="1" applyFill="1" applyBorder="1"/>
    <xf numFmtId="0" fontId="4" fillId="0" borderId="0" xfId="0" applyFont="1"/>
    <xf numFmtId="0" fontId="3" fillId="2" borderId="9" xfId="0" applyFont="1" applyFill="1" applyBorder="1"/>
    <xf numFmtId="43" fontId="3" fillId="2" borderId="10" xfId="0" applyNumberFormat="1" applyFont="1" applyFill="1" applyBorder="1"/>
    <xf numFmtId="0" fontId="6" fillId="0" borderId="11" xfId="0" applyFont="1" applyBorder="1"/>
    <xf numFmtId="0" fontId="6" fillId="2" borderId="7" xfId="0" applyFont="1" applyFill="1" applyBorder="1"/>
    <xf numFmtId="43" fontId="6" fillId="2" borderId="5" xfId="0" applyNumberFormat="1" applyFont="1" applyFill="1" applyBorder="1"/>
    <xf numFmtId="0" fontId="6" fillId="2" borderId="12" xfId="0" applyFont="1" applyFill="1" applyBorder="1"/>
    <xf numFmtId="2" fontId="4" fillId="2" borderId="5" xfId="0" applyNumberFormat="1" applyFont="1" applyFill="1" applyBorder="1"/>
    <xf numFmtId="43" fontId="4" fillId="2" borderId="5" xfId="0" applyNumberFormat="1" applyFont="1" applyFill="1" applyBorder="1"/>
    <xf numFmtId="164" fontId="3" fillId="2" borderId="10" xfId="1" applyNumberFormat="1" applyFont="1" applyFill="1" applyBorder="1"/>
    <xf numFmtId="10" fontId="6" fillId="2" borderId="5" xfId="2" applyNumberFormat="1" applyFont="1" applyFill="1" applyBorder="1"/>
    <xf numFmtId="2" fontId="6" fillId="2" borderId="5" xfId="0" applyNumberFormat="1" applyFont="1" applyFill="1" applyBorder="1"/>
    <xf numFmtId="10" fontId="4" fillId="2" borderId="5" xfId="2" applyNumberFormat="1" applyFont="1" applyFill="1" applyBorder="1"/>
    <xf numFmtId="1" fontId="4" fillId="2" borderId="5" xfId="0" applyNumberFormat="1" applyFont="1" applyFill="1" applyBorder="1"/>
    <xf numFmtId="0" fontId="4" fillId="2" borderId="7" xfId="0" applyFont="1" applyFill="1" applyBorder="1"/>
    <xf numFmtId="0" fontId="4" fillId="2" borderId="12" xfId="0" applyFont="1" applyFill="1" applyBorder="1"/>
    <xf numFmtId="2" fontId="6" fillId="2" borderId="5" xfId="2" applyNumberFormat="1" applyFont="1" applyFill="1" applyBorder="1"/>
    <xf numFmtId="10" fontId="6" fillId="2" borderId="5" xfId="2" applyNumberFormat="1" applyFont="1" applyFill="1" applyBorder="1" applyAlignment="1">
      <alignment horizontal="right"/>
    </xf>
    <xf numFmtId="0" fontId="4" fillId="2" borderId="8" xfId="0" applyFont="1" applyFill="1" applyBorder="1"/>
    <xf numFmtId="10" fontId="4" fillId="2" borderId="6" xfId="2" applyNumberFormat="1" applyFont="1" applyFill="1" applyBorder="1"/>
    <xf numFmtId="43" fontId="4" fillId="3" borderId="0" xfId="0" applyNumberFormat="1" applyFont="1" applyFill="1"/>
    <xf numFmtId="0" fontId="5" fillId="2" borderId="1" xfId="0" applyFont="1" applyFill="1" applyBorder="1" applyAlignment="1">
      <alignment horizontal="right"/>
    </xf>
    <xf numFmtId="0" fontId="8" fillId="2" borderId="0" xfId="0" applyFont="1" applyFill="1" applyAlignment="1">
      <alignment horizontal="center"/>
    </xf>
    <xf numFmtId="43" fontId="6" fillId="0" borderId="0" xfId="3" applyFont="1" applyFill="1" applyBorder="1"/>
    <xf numFmtId="0" fontId="0" fillId="2" borderId="0" xfId="0" applyFill="1"/>
    <xf numFmtId="0" fontId="6" fillId="2" borderId="1" xfId="0" applyFont="1" applyFill="1" applyBorder="1"/>
    <xf numFmtId="4" fontId="10" fillId="0" borderId="16" xfId="0" applyNumberFormat="1" applyFont="1" applyBorder="1" applyAlignment="1">
      <alignment horizontal="right" vertical="center" wrapText="1" indent="1" readingOrder="1"/>
    </xf>
    <xf numFmtId="0" fontId="10" fillId="0" borderId="16" xfId="0" applyFont="1" applyBorder="1" applyAlignment="1">
      <alignment horizontal="right" vertical="center" wrapText="1" indent="1" readingOrder="1"/>
    </xf>
    <xf numFmtId="43" fontId="3" fillId="2" borderId="1" xfId="1" applyFont="1" applyFill="1" applyBorder="1"/>
    <xf numFmtId="0" fontId="0" fillId="4" borderId="0" xfId="0" applyFill="1"/>
    <xf numFmtId="0" fontId="3" fillId="0" borderId="1" xfId="0" applyFont="1" applyBorder="1"/>
    <xf numFmtId="0" fontId="3" fillId="2" borderId="14" xfId="0" applyFont="1" applyFill="1" applyBorder="1"/>
    <xf numFmtId="43" fontId="5" fillId="0" borderId="1" xfId="3" applyFont="1" applyFill="1" applyBorder="1"/>
    <xf numFmtId="165" fontId="7" fillId="2" borderId="1" xfId="0" applyNumberFormat="1" applyFont="1" applyFill="1" applyBorder="1" applyAlignment="1">
      <alignment horizontal="right"/>
    </xf>
    <xf numFmtId="10" fontId="7" fillId="2" borderId="1" xfId="2" applyNumberFormat="1" applyFont="1" applyFill="1" applyBorder="1"/>
    <xf numFmtId="43" fontId="3" fillId="2" borderId="1" xfId="3" applyFont="1" applyFill="1" applyBorder="1"/>
    <xf numFmtId="43" fontId="5" fillId="2" borderId="1" xfId="3" applyFont="1" applyFill="1" applyBorder="1"/>
    <xf numFmtId="2" fontId="6" fillId="0" borderId="1" xfId="0" applyNumberFormat="1" applyFont="1" applyBorder="1"/>
    <xf numFmtId="43" fontId="6" fillId="0" borderId="1" xfId="3" applyFont="1" applyFill="1" applyBorder="1"/>
    <xf numFmtId="4" fontId="9" fillId="0" borderId="1" xfId="0" applyNumberFormat="1" applyFont="1" applyBorder="1" applyAlignment="1">
      <alignment horizontal="right" vertical="center" wrapText="1" indent="1" readingOrder="1"/>
    </xf>
    <xf numFmtId="10" fontId="5" fillId="2" borderId="1" xfId="0" applyNumberFormat="1" applyFont="1" applyFill="1" applyBorder="1"/>
    <xf numFmtId="2" fontId="6" fillId="0" borderId="1" xfId="3" applyNumberFormat="1" applyFont="1" applyFill="1" applyBorder="1"/>
    <xf numFmtId="164" fontId="6" fillId="0" borderId="1" xfId="3" applyNumberFormat="1" applyFont="1" applyFill="1" applyBorder="1"/>
    <xf numFmtId="4" fontId="9" fillId="0" borderId="1" xfId="0" applyNumberFormat="1" applyFont="1" applyBorder="1" applyAlignment="1">
      <alignment horizontal="right" vertical="center" wrapText="1" readingOrder="1"/>
    </xf>
    <xf numFmtId="10" fontId="7" fillId="2" borderId="1" xfId="0" applyNumberFormat="1" applyFont="1" applyFill="1" applyBorder="1"/>
    <xf numFmtId="41" fontId="7" fillId="2" borderId="1" xfId="4" applyFont="1" applyFill="1" applyBorder="1"/>
    <xf numFmtId="43" fontId="7" fillId="2" borderId="1" xfId="3" applyFont="1" applyFill="1" applyBorder="1"/>
    <xf numFmtId="43" fontId="4" fillId="2" borderId="1" xfId="3" applyFont="1" applyFill="1" applyBorder="1"/>
    <xf numFmtId="10" fontId="3" fillId="2" borderId="1" xfId="2" applyNumberFormat="1" applyFont="1" applyFill="1" applyBorder="1"/>
    <xf numFmtId="43" fontId="4" fillId="0" borderId="1" xfId="1" applyFont="1" applyBorder="1"/>
    <xf numFmtId="0" fontId="9" fillId="0" borderId="1" xfId="0" applyFont="1" applyBorder="1" applyAlignment="1">
      <alignment horizontal="right" vertical="center" wrapText="1" indent="1" readingOrder="1"/>
    </xf>
    <xf numFmtId="2" fontId="9" fillId="0" borderId="1" xfId="0" applyNumberFormat="1" applyFont="1" applyBorder="1" applyAlignment="1">
      <alignment horizontal="right" vertical="center" wrapText="1" indent="1" readingOrder="1"/>
    </xf>
    <xf numFmtId="43" fontId="4" fillId="0" borderId="10" xfId="0" applyNumberFormat="1" applyFont="1" applyBorder="1" applyAlignment="1">
      <alignment horizontal="right" readingOrder="1"/>
    </xf>
    <xf numFmtId="0" fontId="4" fillId="0" borderId="1" xfId="0" applyFont="1" applyBorder="1"/>
    <xf numFmtId="4" fontId="12" fillId="0" borderId="1" xfId="0" applyNumberFormat="1" applyFont="1" applyBorder="1" applyAlignment="1">
      <alignment horizontal="right" vertical="center" wrapText="1" indent="1" readingOrder="1"/>
    </xf>
    <xf numFmtId="4" fontId="12" fillId="0" borderId="1" xfId="0" applyNumberFormat="1" applyFont="1" applyBorder="1" applyAlignment="1">
      <alignment horizontal="right" vertical="center" wrapText="1" readingOrder="1"/>
    </xf>
    <xf numFmtId="2" fontId="12" fillId="0" borderId="1" xfId="0" applyNumberFormat="1" applyFont="1" applyBorder="1" applyAlignment="1">
      <alignment horizontal="right" vertical="center" wrapText="1" readingOrder="1"/>
    </xf>
    <xf numFmtId="0" fontId="6" fillId="0" borderId="1" xfId="0" applyFont="1" applyBorder="1"/>
    <xf numFmtId="43" fontId="4" fillId="0" borderId="1" xfId="3" applyFont="1" applyFill="1" applyBorder="1"/>
    <xf numFmtId="164" fontId="4" fillId="0" borderId="1" xfId="3" applyNumberFormat="1" applyFont="1" applyBorder="1"/>
    <xf numFmtId="0" fontId="1" fillId="0" borderId="1" xfId="0" applyFont="1" applyBorder="1"/>
    <xf numFmtId="166" fontId="3" fillId="2" borderId="1" xfId="1" applyNumberFormat="1" applyFont="1" applyFill="1" applyBorder="1"/>
    <xf numFmtId="0" fontId="0" fillId="0" borderId="1" xfId="0" applyBorder="1" applyAlignment="1">
      <alignment vertical="center" wrapText="1"/>
    </xf>
    <xf numFmtId="0" fontId="7" fillId="2" borderId="14" xfId="0" applyFont="1" applyFill="1" applyBorder="1"/>
    <xf numFmtId="0" fontId="7" fillId="2" borderId="1" xfId="0" applyFont="1" applyFill="1" applyBorder="1"/>
    <xf numFmtId="0" fontId="11" fillId="0" borderId="1" xfId="0" applyFont="1" applyBorder="1" applyAlignment="1">
      <alignment horizontal="left" vertical="center" wrapText="1" indent="1" readingOrder="1"/>
    </xf>
    <xf numFmtId="0" fontId="4" fillId="3" borderId="1" xfId="0" applyFont="1" applyFill="1" applyBorder="1"/>
    <xf numFmtId="0" fontId="6" fillId="3" borderId="9" xfId="0" applyFont="1" applyFill="1" applyBorder="1"/>
    <xf numFmtId="43" fontId="6" fillId="0" borderId="10" xfId="1" applyFont="1" applyFill="1" applyBorder="1"/>
    <xf numFmtId="0" fontId="5" fillId="3" borderId="1" xfId="0" applyFont="1" applyFill="1" applyBorder="1"/>
    <xf numFmtId="43" fontId="5" fillId="0" borderId="1" xfId="1" applyFont="1" applyFill="1" applyBorder="1"/>
    <xf numFmtId="0" fontId="4" fillId="0" borderId="9" xfId="0" applyFont="1" applyBorder="1"/>
    <xf numFmtId="2" fontId="4" fillId="0" borderId="10" xfId="0" applyNumberFormat="1" applyFont="1" applyBorder="1"/>
    <xf numFmtId="3" fontId="13" fillId="0" borderId="1" xfId="0" applyNumberFormat="1" applyFont="1" applyBorder="1"/>
    <xf numFmtId="164" fontId="4" fillId="0" borderId="1" xfId="1" applyNumberFormat="1" applyFont="1" applyBorder="1"/>
    <xf numFmtId="10" fontId="7" fillId="2" borderId="1" xfId="2" applyNumberFormat="1" applyFont="1" applyFill="1" applyBorder="1" applyAlignment="1">
      <alignment horizontal="right"/>
    </xf>
    <xf numFmtId="2" fontId="0" fillId="0" borderId="0" xfId="0" applyNumberFormat="1"/>
    <xf numFmtId="43" fontId="6" fillId="2" borderId="5" xfId="0" applyNumberFormat="1" applyFont="1" applyFill="1" applyBorder="1" applyAlignment="1">
      <alignment horizontal="right"/>
    </xf>
    <xf numFmtId="43" fontId="3" fillId="2" borderId="10" xfId="1" applyFont="1" applyFill="1" applyBorder="1"/>
    <xf numFmtId="0" fontId="8" fillId="2" borderId="1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5">
    <cellStyle name="Comma" xfId="1" builtinId="3"/>
    <cellStyle name="Comma [0]" xfId="4" builtinId="6"/>
    <cellStyle name="Comma 3" xfId="3" xr:uid="{00000000-0005-0000-0000-000002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76"/>
  <sheetViews>
    <sheetView showGridLines="0" tabSelected="1" topLeftCell="A32" zoomScale="80" zoomScaleNormal="80" workbookViewId="0">
      <selection activeCell="M72" sqref="M72"/>
    </sheetView>
  </sheetViews>
  <sheetFormatPr defaultRowHeight="14.4" x14ac:dyDescent="0.3"/>
  <cols>
    <col min="2" max="2" width="50" customWidth="1"/>
    <col min="3" max="3" width="13.88671875" customWidth="1"/>
    <col min="4" max="4" width="13.88671875" bestFit="1" customWidth="1"/>
    <col min="5" max="5" width="15.6640625" bestFit="1" customWidth="1"/>
    <col min="6" max="7" width="15" customWidth="1"/>
    <col min="8" max="8" width="3.109375" style="38" customWidth="1"/>
    <col min="9" max="9" width="43.6640625" customWidth="1"/>
    <col min="10" max="10" width="13.33203125" customWidth="1"/>
    <col min="11" max="11" width="13.5546875" customWidth="1"/>
    <col min="12" max="12" width="12.109375" bestFit="1" customWidth="1"/>
    <col min="13" max="13" width="11.6640625" customWidth="1"/>
    <col min="14" max="14" width="8.88671875" customWidth="1"/>
  </cols>
  <sheetData>
    <row r="2" spans="2:16" ht="17.25" customHeight="1" x14ac:dyDescent="0.3">
      <c r="B2" s="91" t="s">
        <v>102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3"/>
    </row>
    <row r="3" spans="2:16" ht="18.600000000000001" thickBot="1" x14ac:dyDescent="0.4">
      <c r="B3" s="88" t="s">
        <v>0</v>
      </c>
      <c r="C3" s="89"/>
      <c r="D3" s="90"/>
      <c r="E3" s="31"/>
      <c r="F3" s="31"/>
      <c r="G3" s="31"/>
      <c r="H3" s="2"/>
      <c r="I3" s="88" t="s">
        <v>1</v>
      </c>
      <c r="J3" s="89"/>
      <c r="K3" s="89"/>
      <c r="L3" s="89"/>
      <c r="M3" s="33"/>
    </row>
    <row r="4" spans="2:16" ht="16.2" thickBot="1" x14ac:dyDescent="0.35">
      <c r="B4" s="40" t="s">
        <v>2</v>
      </c>
      <c r="C4" s="30" t="s">
        <v>94</v>
      </c>
      <c r="D4" s="30" t="s">
        <v>96</v>
      </c>
      <c r="E4" s="30" t="s">
        <v>97</v>
      </c>
      <c r="F4" s="30" t="s">
        <v>99</v>
      </c>
      <c r="G4" s="30" t="s">
        <v>118</v>
      </c>
      <c r="H4" s="2"/>
      <c r="I4" s="5" t="s">
        <v>2</v>
      </c>
      <c r="J4" s="30" t="s">
        <v>94</v>
      </c>
      <c r="K4" s="30" t="s">
        <v>96</v>
      </c>
      <c r="L4" s="30" t="s">
        <v>97</v>
      </c>
      <c r="M4" s="30" t="s">
        <v>99</v>
      </c>
    </row>
    <row r="5" spans="2:16" ht="16.2" thickBot="1" x14ac:dyDescent="0.35">
      <c r="B5" s="39" t="s">
        <v>3</v>
      </c>
      <c r="C5" s="41">
        <v>16096.593999999999</v>
      </c>
      <c r="D5" s="41">
        <v>16434.133999999998</v>
      </c>
      <c r="E5" s="41">
        <v>13621.019</v>
      </c>
      <c r="F5" s="41">
        <v>14220.843999999999</v>
      </c>
      <c r="G5" s="41">
        <v>3436.7020000000002</v>
      </c>
      <c r="H5" s="2"/>
      <c r="I5" s="66" t="s">
        <v>81</v>
      </c>
      <c r="J5" s="67">
        <v>452.32799999999997</v>
      </c>
      <c r="K5" s="67">
        <v>452.32799999999997</v>
      </c>
      <c r="L5" s="67">
        <v>452.32799999999997</v>
      </c>
      <c r="M5" s="67">
        <v>452.32799999999997</v>
      </c>
      <c r="N5" s="32">
        <v>10</v>
      </c>
    </row>
    <row r="6" spans="2:16" ht="16.2" thickBot="1" x14ac:dyDescent="0.35">
      <c r="B6" s="73" t="s">
        <v>4</v>
      </c>
      <c r="C6" s="42" t="s">
        <v>117</v>
      </c>
      <c r="D6" s="43">
        <f>D5/C5-1</f>
        <v>2.0969653580130032E-2</v>
      </c>
      <c r="E6" s="43">
        <f>E5/D5-1</f>
        <v>-0.17117512854647521</v>
      </c>
      <c r="F6" s="43">
        <f>F5/E5-1</f>
        <v>4.40367200133851E-2</v>
      </c>
      <c r="G6" s="84" t="s">
        <v>117</v>
      </c>
      <c r="H6" s="2"/>
      <c r="I6" s="66" t="s">
        <v>82</v>
      </c>
      <c r="J6" s="67">
        <v>7246.3050000000003</v>
      </c>
      <c r="K6" s="67">
        <v>8038.683</v>
      </c>
      <c r="L6" s="67">
        <v>8130.0929999999989</v>
      </c>
      <c r="M6" s="67">
        <v>8949.6929999999993</v>
      </c>
    </row>
    <row r="7" spans="2:16" ht="16.2" thickBot="1" x14ac:dyDescent="0.35">
      <c r="B7" s="73" t="s">
        <v>5</v>
      </c>
      <c r="C7" s="42" t="s">
        <v>117</v>
      </c>
      <c r="D7" s="42" t="s">
        <v>117</v>
      </c>
      <c r="E7" s="42" t="s">
        <v>117</v>
      </c>
      <c r="F7" s="42">
        <f>(F5/C5)^(1/3)-1</f>
        <v>-4.0458430544831669E-2</v>
      </c>
      <c r="G7" s="42" t="s">
        <v>117</v>
      </c>
      <c r="H7" s="2"/>
      <c r="I7" s="66" t="s">
        <v>91</v>
      </c>
      <c r="J7" s="68">
        <v>0</v>
      </c>
      <c r="K7" s="68">
        <v>0</v>
      </c>
      <c r="L7" s="68">
        <v>0</v>
      </c>
      <c r="M7" s="68">
        <v>0</v>
      </c>
    </row>
    <row r="8" spans="2:16" ht="16.2" thickBot="1" x14ac:dyDescent="0.35">
      <c r="B8" s="3" t="s">
        <v>7</v>
      </c>
      <c r="C8" s="44">
        <f>SUM(C9:C14)</f>
        <v>14618.487999999999</v>
      </c>
      <c r="D8" s="45">
        <f>SUM(D9:D14)</f>
        <v>14366.184000000001</v>
      </c>
      <c r="E8" s="45">
        <f>(SUM(E9:E14))</f>
        <v>12428.394</v>
      </c>
      <c r="F8" s="45">
        <f>(SUM(F9:F14))</f>
        <v>12320.878000000001</v>
      </c>
      <c r="G8" s="45">
        <v>3040.587</v>
      </c>
      <c r="H8" s="2"/>
      <c r="I8" s="5" t="s">
        <v>6</v>
      </c>
      <c r="J8" s="37">
        <f>J5+J6+J7</f>
        <v>7698.6329999999998</v>
      </c>
      <c r="K8" s="37">
        <f>K5+K6+K7</f>
        <v>8491.0110000000004</v>
      </c>
      <c r="L8" s="37">
        <f>L5+L6+L7</f>
        <v>8582.4209999999985</v>
      </c>
      <c r="M8" s="37">
        <f>M5+M6+M7</f>
        <v>9402.0209999999988</v>
      </c>
    </row>
    <row r="9" spans="2:16" ht="16.2" thickBot="1" x14ac:dyDescent="0.35">
      <c r="B9" s="62" t="s">
        <v>76</v>
      </c>
      <c r="C9" s="46">
        <v>2276.6149999999998</v>
      </c>
      <c r="D9" s="46">
        <v>3090.59</v>
      </c>
      <c r="E9" s="47">
        <v>2767.8419999999996</v>
      </c>
      <c r="F9" s="47">
        <v>2441.41</v>
      </c>
      <c r="G9" s="47">
        <v>725.24800000000005</v>
      </c>
      <c r="H9" s="2"/>
      <c r="I9" s="66" t="s">
        <v>8</v>
      </c>
      <c r="J9" s="67">
        <v>2075.355</v>
      </c>
      <c r="K9" s="67">
        <v>1459.183</v>
      </c>
      <c r="L9" s="67">
        <v>1467.0499999999997</v>
      </c>
      <c r="M9" s="67">
        <v>1493.287</v>
      </c>
    </row>
    <row r="10" spans="2:16" ht="16.2" thickBot="1" x14ac:dyDescent="0.35">
      <c r="B10" s="62" t="s">
        <v>77</v>
      </c>
      <c r="C10" s="46">
        <v>-1.01</v>
      </c>
      <c r="D10" s="46">
        <v>-111.467</v>
      </c>
      <c r="E10" s="47">
        <v>2.7329999999999997</v>
      </c>
      <c r="F10" s="47">
        <v>73.058000000000007</v>
      </c>
      <c r="G10" s="47">
        <v>21.712</v>
      </c>
      <c r="H10" s="2"/>
      <c r="I10" s="66" t="s">
        <v>9</v>
      </c>
      <c r="J10" s="67">
        <v>847.9190000000001</v>
      </c>
      <c r="K10" s="67">
        <v>720.78199999999993</v>
      </c>
      <c r="L10" s="67">
        <v>1021.6569999999999</v>
      </c>
      <c r="M10" s="67">
        <v>872.39599999999996</v>
      </c>
    </row>
    <row r="11" spans="2:16" ht="16.2" thickBot="1" x14ac:dyDescent="0.35">
      <c r="B11" s="62" t="s">
        <v>78</v>
      </c>
      <c r="C11" s="46">
        <v>676.30200000000002</v>
      </c>
      <c r="D11" s="46">
        <v>754.47799999999995</v>
      </c>
      <c r="E11" s="47">
        <v>770.23299999999995</v>
      </c>
      <c r="F11" s="47">
        <v>824.89300000000003</v>
      </c>
      <c r="G11" s="47">
        <v>186.03399999999999</v>
      </c>
      <c r="H11" s="2"/>
      <c r="I11" s="5" t="s">
        <v>10</v>
      </c>
      <c r="J11" s="37">
        <f t="shared" ref="J11:L11" si="0">(J9+J10)</f>
        <v>2923.2740000000003</v>
      </c>
      <c r="K11" s="37">
        <f t="shared" si="0"/>
        <v>2179.9650000000001</v>
      </c>
      <c r="L11" s="37">
        <f t="shared" si="0"/>
        <v>2488.7069999999994</v>
      </c>
      <c r="M11" s="37">
        <f t="shared" ref="M11" si="1">(M9+M10)</f>
        <v>2365.683</v>
      </c>
      <c r="O11" s="32"/>
      <c r="P11" s="32"/>
    </row>
    <row r="12" spans="2:16" ht="16.2" thickBot="1" x14ac:dyDescent="0.35">
      <c r="B12" s="62" t="s">
        <v>104</v>
      </c>
      <c r="C12" s="48">
        <f>67859.38/10</f>
        <v>6785.9380000000001</v>
      </c>
      <c r="D12" s="48">
        <v>6592.4570000000003</v>
      </c>
      <c r="E12" s="47">
        <v>5356.5569999999998</v>
      </c>
      <c r="F12" s="47">
        <v>5468.6459999999997</v>
      </c>
      <c r="G12" s="47">
        <v>0</v>
      </c>
      <c r="H12" s="2"/>
      <c r="I12" s="5" t="s">
        <v>12</v>
      </c>
      <c r="J12" s="37">
        <f>J8+J45</f>
        <v>11891.422</v>
      </c>
      <c r="K12" s="37">
        <f>K8+K45</f>
        <v>12094.071</v>
      </c>
      <c r="L12" s="37">
        <f>L8+L45</f>
        <v>12305.079999999998</v>
      </c>
      <c r="M12" s="37">
        <f>M8+M45</f>
        <v>12750.841999999999</v>
      </c>
      <c r="O12" s="32"/>
      <c r="P12" s="32"/>
    </row>
    <row r="13" spans="2:16" ht="16.2" thickBot="1" x14ac:dyDescent="0.35">
      <c r="B13" s="62" t="s">
        <v>106</v>
      </c>
      <c r="C13" s="48">
        <f>2964.72/10</f>
        <v>296.47199999999998</v>
      </c>
      <c r="D13" s="48">
        <f>308.663</f>
        <v>308.66300000000001</v>
      </c>
      <c r="E13" s="47">
        <v>276.16999999999996</v>
      </c>
      <c r="F13" s="47">
        <v>285.61900000000003</v>
      </c>
      <c r="G13" s="47">
        <v>0</v>
      </c>
      <c r="H13" s="2"/>
      <c r="I13" s="5" t="s">
        <v>12</v>
      </c>
      <c r="J13" s="37">
        <f>J51-J36</f>
        <v>11891.421000000002</v>
      </c>
      <c r="K13" s="37">
        <f>K51-K36</f>
        <v>12094.072999999999</v>
      </c>
      <c r="L13" s="37">
        <f>L51-L36</f>
        <v>12305.078999999996</v>
      </c>
      <c r="M13" s="37">
        <f>M51-M36</f>
        <v>12750.842000000001</v>
      </c>
    </row>
    <row r="14" spans="2:16" ht="16.2" thickBot="1" x14ac:dyDescent="0.35">
      <c r="B14" s="62" t="s">
        <v>105</v>
      </c>
      <c r="C14" s="48">
        <f>45841.71/10</f>
        <v>4584.1710000000003</v>
      </c>
      <c r="D14" s="48">
        <f>37314.63/10</f>
        <v>3731.4629999999997</v>
      </c>
      <c r="E14" s="47">
        <v>3254.8589999999999</v>
      </c>
      <c r="F14" s="47">
        <v>3227.252</v>
      </c>
      <c r="G14" s="47">
        <v>0</v>
      </c>
      <c r="H14" s="2"/>
      <c r="I14" s="66"/>
      <c r="J14" s="62"/>
      <c r="K14" s="62"/>
      <c r="L14" s="62"/>
      <c r="M14" s="69"/>
    </row>
    <row r="15" spans="2:16" ht="16.2" thickBot="1" x14ac:dyDescent="0.35">
      <c r="B15" s="62" t="s">
        <v>119</v>
      </c>
      <c r="C15" s="47"/>
      <c r="D15" s="47"/>
      <c r="E15" s="47"/>
      <c r="F15" s="47"/>
      <c r="G15" s="47"/>
      <c r="H15" s="2"/>
      <c r="I15" s="5" t="s">
        <v>14</v>
      </c>
      <c r="J15" s="70">
        <f>SUM(J16:J25)</f>
        <v>10942.827000000001</v>
      </c>
      <c r="K15" s="37">
        <f>SUM(K16:K25)</f>
        <v>10959.877999999999</v>
      </c>
      <c r="L15" s="37">
        <f>SUM(L16:L25)</f>
        <v>11734.837999999996</v>
      </c>
      <c r="M15" s="37">
        <f>SUM(M16:M25)</f>
        <v>12052.786</v>
      </c>
    </row>
    <row r="16" spans="2:16" ht="16.2" thickBot="1" x14ac:dyDescent="0.35">
      <c r="B16" s="3" t="s">
        <v>11</v>
      </c>
      <c r="C16" s="44">
        <f>(C5-C8)</f>
        <v>1478.1059999999998</v>
      </c>
      <c r="D16" s="44">
        <f>(D5-D8)</f>
        <v>2067.9499999999971</v>
      </c>
      <c r="E16" s="44">
        <f>((E5-E8))</f>
        <v>1192.625</v>
      </c>
      <c r="F16" s="44">
        <f>((F5-F8))</f>
        <v>1899.9659999999985</v>
      </c>
      <c r="G16" s="44">
        <f>G5-G8</f>
        <v>396.11500000000024</v>
      </c>
      <c r="H16" s="2"/>
      <c r="I16" s="66" t="s">
        <v>16</v>
      </c>
      <c r="J16" s="67">
        <v>10059.726000000001</v>
      </c>
      <c r="K16" s="67">
        <v>9902.219000000001</v>
      </c>
      <c r="L16" s="67">
        <v>9392.9929999999986</v>
      </c>
      <c r="M16" s="67">
        <v>11088.198</v>
      </c>
    </row>
    <row r="17" spans="2:15" ht="16.2" thickBot="1" x14ac:dyDescent="0.35">
      <c r="B17" s="73" t="s">
        <v>4</v>
      </c>
      <c r="C17" s="42" t="s">
        <v>117</v>
      </c>
      <c r="D17" s="43">
        <f>D16/C16-1</f>
        <v>0.39905392441407961</v>
      </c>
      <c r="E17" s="43">
        <f>E16/D16-1</f>
        <v>-0.42328151067482211</v>
      </c>
      <c r="F17" s="43">
        <f>F16/E16-1</f>
        <v>0.59309590189707451</v>
      </c>
      <c r="G17" s="84" t="s">
        <v>117</v>
      </c>
      <c r="H17" s="2"/>
      <c r="I17" s="66" t="s">
        <v>17</v>
      </c>
      <c r="J17" s="67">
        <v>282.52699999999999</v>
      </c>
      <c r="K17" s="67">
        <v>385.66800000000001</v>
      </c>
      <c r="L17" s="67">
        <v>1483.3889999999999</v>
      </c>
      <c r="M17" s="67">
        <v>22.861000000000004</v>
      </c>
    </row>
    <row r="18" spans="2:15" ht="16.2" thickBot="1" x14ac:dyDescent="0.35">
      <c r="B18" s="73" t="s">
        <v>5</v>
      </c>
      <c r="C18" s="42" t="s">
        <v>117</v>
      </c>
      <c r="D18" s="42" t="s">
        <v>117</v>
      </c>
      <c r="E18" s="42" t="s">
        <v>117</v>
      </c>
      <c r="F18" s="42">
        <f>(F16/C16)^(1/3)-1</f>
        <v>8.7293394932722146E-2</v>
      </c>
      <c r="G18" s="42" t="s">
        <v>117</v>
      </c>
      <c r="H18" s="2"/>
      <c r="I18" s="66" t="s">
        <v>103</v>
      </c>
      <c r="J18" s="67">
        <v>0</v>
      </c>
      <c r="K18" s="67">
        <v>100.45099999999999</v>
      </c>
      <c r="L18" s="67">
        <v>100.45099999999999</v>
      </c>
      <c r="M18" s="67">
        <v>100.45099999999999</v>
      </c>
    </row>
    <row r="19" spans="2:15" ht="16.2" thickBot="1" x14ac:dyDescent="0.35">
      <c r="B19" s="3" t="s">
        <v>13</v>
      </c>
      <c r="C19" s="49">
        <f>(C16/C5)</f>
        <v>9.1827252398861511E-2</v>
      </c>
      <c r="D19" s="49">
        <f>(D16/D5)</f>
        <v>0.1258326115632255</v>
      </c>
      <c r="E19" s="49">
        <f>(E16/E5)</f>
        <v>8.7557693003731951E-2</v>
      </c>
      <c r="F19" s="49">
        <f>(F16/F5)</f>
        <v>0.13360430646732349</v>
      </c>
      <c r="G19" s="49">
        <f>(G16/G5)</f>
        <v>0.11526021167968599</v>
      </c>
      <c r="H19" s="2"/>
      <c r="I19" s="66" t="s">
        <v>110</v>
      </c>
      <c r="J19" s="67">
        <v>0</v>
      </c>
      <c r="K19" s="67">
        <v>0</v>
      </c>
      <c r="L19" s="67">
        <v>34.156999999999996</v>
      </c>
      <c r="M19" s="67">
        <v>26.079000000000001</v>
      </c>
      <c r="N19" s="1"/>
      <c r="O19" s="1"/>
    </row>
    <row r="20" spans="2:15" ht="16.2" thickBot="1" x14ac:dyDescent="0.35">
      <c r="B20" s="62" t="s">
        <v>15</v>
      </c>
      <c r="C20" s="50">
        <f>1879.85/10</f>
        <v>187.98499999999999</v>
      </c>
      <c r="D20" s="46">
        <f>188.897</f>
        <v>188.89699999999999</v>
      </c>
      <c r="E20" s="46">
        <f>2114.93/10</f>
        <v>211.49299999999999</v>
      </c>
      <c r="F20" s="46">
        <f>3157.07/10</f>
        <v>315.70699999999999</v>
      </c>
      <c r="G20" s="46">
        <v>41.280999999999999</v>
      </c>
      <c r="H20" s="2"/>
      <c r="I20" s="66" t="s">
        <v>83</v>
      </c>
      <c r="J20" s="67">
        <v>0</v>
      </c>
      <c r="K20" s="67">
        <v>0</v>
      </c>
      <c r="L20" s="67">
        <v>0</v>
      </c>
      <c r="M20" s="67">
        <v>0</v>
      </c>
      <c r="N20" s="1"/>
      <c r="O20" s="1"/>
    </row>
    <row r="21" spans="2:15" ht="16.2" thickBot="1" x14ac:dyDescent="0.35">
      <c r="B21" s="62" t="s">
        <v>79</v>
      </c>
      <c r="C21" s="50">
        <f>4916.78/10</f>
        <v>491.678</v>
      </c>
      <c r="D21" s="46">
        <f>5606.37/10</f>
        <v>560.63699999999994</v>
      </c>
      <c r="E21" s="46">
        <f>5407/10</f>
        <v>540.70000000000005</v>
      </c>
      <c r="F21" s="46">
        <f>5549.45/10</f>
        <v>554.94499999999994</v>
      </c>
      <c r="G21" s="46">
        <v>147.12700000000001</v>
      </c>
      <c r="H21" s="2"/>
      <c r="I21" s="66" t="s">
        <v>20</v>
      </c>
      <c r="J21" s="67"/>
      <c r="K21" s="67">
        <v>0</v>
      </c>
      <c r="L21" s="67">
        <v>0</v>
      </c>
      <c r="M21" s="67">
        <v>0</v>
      </c>
    </row>
    <row r="22" spans="2:15" ht="16.2" thickBot="1" x14ac:dyDescent="0.35">
      <c r="B22" s="62" t="s">
        <v>18</v>
      </c>
      <c r="C22" s="50">
        <f>2620.63/10</f>
        <v>262.06299999999999</v>
      </c>
      <c r="D22" s="46">
        <f>2295.62/10</f>
        <v>229.56199999999998</v>
      </c>
      <c r="E22" s="46">
        <f>1985.83/10</f>
        <v>198.583</v>
      </c>
      <c r="F22" s="46">
        <f>1903.61/10</f>
        <v>190.36099999999999</v>
      </c>
      <c r="G22" s="46">
        <v>55.091999999999999</v>
      </c>
      <c r="H22" s="2"/>
      <c r="I22" s="66" t="s">
        <v>22</v>
      </c>
      <c r="J22" s="67">
        <v>54.601999999999997</v>
      </c>
      <c r="K22" s="67">
        <v>44.114999999999995</v>
      </c>
      <c r="L22" s="67">
        <v>42.006</v>
      </c>
      <c r="M22" s="67">
        <v>0</v>
      </c>
    </row>
    <row r="23" spans="2:15" ht="16.2" thickBot="1" x14ac:dyDescent="0.35">
      <c r="B23" s="62" t="s">
        <v>80</v>
      </c>
      <c r="C23" s="51">
        <v>0</v>
      </c>
      <c r="D23" s="51">
        <v>0</v>
      </c>
      <c r="E23" s="52">
        <f>1006.33/10</f>
        <v>100.63300000000001</v>
      </c>
      <c r="F23" s="52">
        <v>97.721000000000004</v>
      </c>
      <c r="G23" s="52"/>
      <c r="H23" s="2"/>
      <c r="I23" s="66" t="s">
        <v>113</v>
      </c>
      <c r="J23" s="67">
        <v>501.29500000000002</v>
      </c>
      <c r="K23" s="67">
        <v>482.74799999999999</v>
      </c>
      <c r="L23" s="67">
        <v>589.09799999999996</v>
      </c>
      <c r="M23" s="67">
        <v>658.55899999999997</v>
      </c>
    </row>
    <row r="24" spans="2:15" ht="16.2" thickBot="1" x14ac:dyDescent="0.35">
      <c r="B24" s="3" t="s">
        <v>19</v>
      </c>
      <c r="C24" s="44">
        <f t="shared" ref="C24:F24" si="2">(C16-C21-C22+C20-C23)</f>
        <v>912.3499999999998</v>
      </c>
      <c r="D24" s="44">
        <f>(D16-D21-D22+D20-D23)</f>
        <v>1466.6479999999972</v>
      </c>
      <c r="E24" s="44">
        <f t="shared" si="2"/>
        <v>564.202</v>
      </c>
      <c r="F24" s="44">
        <f t="shared" si="2"/>
        <v>1372.6459999999984</v>
      </c>
      <c r="G24" s="44">
        <f>(G16-G21-G22+G20-G23)</f>
        <v>235.17700000000025</v>
      </c>
      <c r="H24" s="2"/>
      <c r="I24" s="66" t="s">
        <v>98</v>
      </c>
      <c r="J24" s="67">
        <v>0</v>
      </c>
      <c r="K24" s="67">
        <v>0</v>
      </c>
      <c r="L24" s="67">
        <v>0</v>
      </c>
      <c r="M24" s="67">
        <v>0</v>
      </c>
    </row>
    <row r="25" spans="2:15" ht="16.2" thickBot="1" x14ac:dyDescent="0.35">
      <c r="B25" s="62" t="s">
        <v>21</v>
      </c>
      <c r="C25" s="46">
        <f>4694.78/10</f>
        <v>469.47799999999995</v>
      </c>
      <c r="D25" s="46">
        <f>16.351+400.465+117.645</f>
        <v>534.46100000000001</v>
      </c>
      <c r="E25" s="46">
        <f>2236.29/10</f>
        <v>223.62899999999999</v>
      </c>
      <c r="F25" s="46">
        <f>1351.46/10</f>
        <v>135.14600000000002</v>
      </c>
      <c r="G25" s="46">
        <f>54.96+6.384</f>
        <v>61.344000000000001</v>
      </c>
      <c r="H25" s="2"/>
      <c r="I25" s="66" t="s">
        <v>84</v>
      </c>
      <c r="J25" s="67">
        <v>44.677</v>
      </c>
      <c r="K25" s="67">
        <v>44.677</v>
      </c>
      <c r="L25" s="67">
        <v>92.744</v>
      </c>
      <c r="M25" s="67">
        <v>156.63800000000001</v>
      </c>
    </row>
    <row r="26" spans="2:15" ht="16.2" thickBot="1" x14ac:dyDescent="0.35">
      <c r="B26" s="73" t="s">
        <v>23</v>
      </c>
      <c r="C26" s="53">
        <f>(C25/C24)</f>
        <v>0.51458102701814001</v>
      </c>
      <c r="D26" s="53">
        <f>(D25/D24)</f>
        <v>0.36440986521646712</v>
      </c>
      <c r="E26" s="53">
        <f>(E25/E24)</f>
        <v>0.39636335922240612</v>
      </c>
      <c r="F26" s="53">
        <f>(F25/F24)</f>
        <v>9.8456557626656963E-2</v>
      </c>
      <c r="G26" s="53">
        <f>(G25/G24)</f>
        <v>0.26084183402288463</v>
      </c>
      <c r="H26" s="2"/>
      <c r="I26" s="5" t="s">
        <v>26</v>
      </c>
      <c r="J26" s="70">
        <f>J27+J28+J29+J30+J32+J35+J31+J33</f>
        <v>4119.3100000000004</v>
      </c>
      <c r="K26" s="37">
        <f>K27+K28+K29+K30+K32+K35+K31+K33+K34</f>
        <v>4429.7829999999994</v>
      </c>
      <c r="L26" s="37">
        <f>SUM(L27:L35)</f>
        <v>4613.1959999999999</v>
      </c>
      <c r="M26" s="37">
        <f>SUM(M27:M35)</f>
        <v>3690.2780000000002</v>
      </c>
    </row>
    <row r="27" spans="2:15" ht="16.2" thickBot="1" x14ac:dyDescent="0.35">
      <c r="B27" s="73" t="s">
        <v>107</v>
      </c>
      <c r="C27" s="44">
        <f>C24-C25</f>
        <v>442.87199999999984</v>
      </c>
      <c r="D27" s="44">
        <f t="shared" ref="D27:E27" si="3">D24-D25</f>
        <v>932.18699999999717</v>
      </c>
      <c r="E27" s="44">
        <f t="shared" si="3"/>
        <v>340.57299999999998</v>
      </c>
      <c r="F27" s="44">
        <f>F24-F25</f>
        <v>1237.4999999999984</v>
      </c>
      <c r="G27" s="44">
        <f>G24-G25</f>
        <v>173.83300000000025</v>
      </c>
      <c r="H27" s="2"/>
      <c r="I27" s="66" t="s">
        <v>85</v>
      </c>
      <c r="J27" s="67">
        <v>1496.077</v>
      </c>
      <c r="K27" s="67">
        <v>1769.962</v>
      </c>
      <c r="L27" s="67">
        <v>2481.0540000000001</v>
      </c>
      <c r="M27" s="67">
        <v>1480.6790000000001</v>
      </c>
    </row>
    <row r="28" spans="2:15" ht="16.2" thickBot="1" x14ac:dyDescent="0.35">
      <c r="B28" s="74" t="s">
        <v>108</v>
      </c>
      <c r="C28" s="54">
        <v>0</v>
      </c>
      <c r="D28" s="55">
        <v>0</v>
      </c>
      <c r="E28" s="56">
        <v>-88.602000000000004</v>
      </c>
      <c r="F28" s="56">
        <v>-283.584</v>
      </c>
      <c r="G28" s="56"/>
      <c r="H28" s="2"/>
      <c r="I28" s="66" t="s">
        <v>20</v>
      </c>
      <c r="J28" s="67"/>
      <c r="K28" s="67"/>
      <c r="L28" s="67"/>
      <c r="M28" s="67"/>
    </row>
    <row r="29" spans="2:15" ht="16.2" thickBot="1" x14ac:dyDescent="0.35">
      <c r="B29" s="3" t="s">
        <v>24</v>
      </c>
      <c r="C29" s="44">
        <f>C27-C28</f>
        <v>442.87199999999984</v>
      </c>
      <c r="D29" s="44">
        <f t="shared" ref="D29" si="4">D27-D28</f>
        <v>932.18699999999717</v>
      </c>
      <c r="E29" s="44">
        <f>E27+E28</f>
        <v>251.97099999999998</v>
      </c>
      <c r="F29" s="44">
        <f>F27+F28</f>
        <v>953.91599999999835</v>
      </c>
      <c r="G29" s="44">
        <f>G27+G28</f>
        <v>173.83300000000025</v>
      </c>
      <c r="H29" s="2"/>
      <c r="I29" s="66" t="s">
        <v>86</v>
      </c>
      <c r="J29" s="67">
        <v>1416.173</v>
      </c>
      <c r="K29" s="67">
        <v>1425.953</v>
      </c>
      <c r="L29" s="67">
        <v>1357.8530000000001</v>
      </c>
      <c r="M29" s="67">
        <v>1183.3420000000001</v>
      </c>
    </row>
    <row r="30" spans="2:15" ht="16.2" thickBot="1" x14ac:dyDescent="0.35">
      <c r="B30" s="3" t="s">
        <v>25</v>
      </c>
      <c r="C30" s="57">
        <f>C29/C5</f>
        <v>2.7513398176036489E-2</v>
      </c>
      <c r="D30" s="57">
        <f>D29/D5</f>
        <v>5.6722611608253731E-2</v>
      </c>
      <c r="E30" s="57">
        <f>E29/E5</f>
        <v>1.8498689415233908E-2</v>
      </c>
      <c r="F30" s="57">
        <f>F29/F5</f>
        <v>6.7078719097122388E-2</v>
      </c>
      <c r="G30" s="57">
        <f>G29/G5</f>
        <v>5.0581342228683268E-2</v>
      </c>
      <c r="H30" s="2"/>
      <c r="I30" s="66" t="s">
        <v>87</v>
      </c>
      <c r="J30" s="67">
        <v>312.04199999999997</v>
      </c>
      <c r="K30" s="67">
        <v>446.08699999999999</v>
      </c>
      <c r="L30" s="67">
        <v>148.916</v>
      </c>
      <c r="M30" s="67">
        <v>33.100999999999999</v>
      </c>
    </row>
    <row r="31" spans="2:15" ht="16.2" thickBot="1" x14ac:dyDescent="0.35">
      <c r="B31" s="62" t="s">
        <v>27</v>
      </c>
      <c r="C31" s="58">
        <v>0</v>
      </c>
      <c r="D31" s="58">
        <v>0</v>
      </c>
      <c r="E31" s="58">
        <v>0</v>
      </c>
      <c r="F31" s="58">
        <v>0</v>
      </c>
      <c r="G31" s="58"/>
      <c r="H31" s="2"/>
      <c r="I31" s="66" t="s">
        <v>100</v>
      </c>
      <c r="J31" s="67">
        <v>90.299000000000007</v>
      </c>
      <c r="K31" s="67">
        <v>93.13</v>
      </c>
      <c r="L31" s="67">
        <v>66.731999999999999</v>
      </c>
      <c r="M31" s="67">
        <v>68.188999999999993</v>
      </c>
    </row>
    <row r="32" spans="2:15" ht="16.2" thickBot="1" x14ac:dyDescent="0.35">
      <c r="B32" s="62" t="s">
        <v>28</v>
      </c>
      <c r="C32" s="59">
        <f>-166.07/10</f>
        <v>-16.606999999999999</v>
      </c>
      <c r="D32" s="59">
        <f>-41.1/10</f>
        <v>-4.1100000000000003</v>
      </c>
      <c r="E32" s="60">
        <f>-22.48/10</f>
        <v>-2.2480000000000002</v>
      </c>
      <c r="F32" s="60">
        <f>239.98/10</f>
        <v>23.997999999999998</v>
      </c>
      <c r="G32" s="60"/>
      <c r="H32" s="2"/>
      <c r="I32" s="66" t="s">
        <v>101</v>
      </c>
      <c r="J32" s="67">
        <v>60</v>
      </c>
      <c r="K32" s="67">
        <v>21.5</v>
      </c>
      <c r="L32" s="67">
        <v>95</v>
      </c>
      <c r="M32" s="67">
        <v>0</v>
      </c>
    </row>
    <row r="33" spans="2:22" ht="16.2" thickBot="1" x14ac:dyDescent="0.35">
      <c r="B33" s="3" t="s">
        <v>109</v>
      </c>
      <c r="C33" s="44">
        <f>(C29-C31+C32)</f>
        <v>426.26499999999987</v>
      </c>
      <c r="D33" s="44">
        <f>(D29-D31+D32)</f>
        <v>928.07699999999716</v>
      </c>
      <c r="E33" s="44">
        <f>(E29-E31+E32)</f>
        <v>249.72299999999998</v>
      </c>
      <c r="F33" s="44">
        <f>(F29-F31+F32)</f>
        <v>977.9139999999984</v>
      </c>
      <c r="G33" s="44"/>
      <c r="H33" s="2"/>
      <c r="I33" s="66" t="s">
        <v>112</v>
      </c>
      <c r="J33" s="67">
        <v>27.832000000000001</v>
      </c>
      <c r="K33" s="67">
        <v>9.65</v>
      </c>
      <c r="L33" s="67">
        <v>2.4710000000000001</v>
      </c>
      <c r="M33" s="67">
        <v>1.052</v>
      </c>
    </row>
    <row r="34" spans="2:22" ht="16.2" thickBot="1" x14ac:dyDescent="0.35">
      <c r="B34" s="73" t="s">
        <v>4</v>
      </c>
      <c r="C34" s="42" t="s">
        <v>117</v>
      </c>
      <c r="D34" s="43">
        <f>D33/C33-1</f>
        <v>1.177230126799051</v>
      </c>
      <c r="E34" s="43">
        <f t="shared" ref="E34:F34" si="5">E33/D33-1</f>
        <v>-0.73092426598223992</v>
      </c>
      <c r="F34" s="43">
        <f t="shared" si="5"/>
        <v>2.9159949223739843</v>
      </c>
      <c r="G34" s="84" t="s">
        <v>117</v>
      </c>
      <c r="H34" s="2"/>
      <c r="I34" s="71" t="s">
        <v>111</v>
      </c>
      <c r="J34" s="67">
        <v>0</v>
      </c>
      <c r="K34" s="67">
        <v>0</v>
      </c>
      <c r="L34" s="67">
        <v>0</v>
      </c>
      <c r="M34" s="67">
        <v>317.86399999999998</v>
      </c>
    </row>
    <row r="35" spans="2:22" ht="16.2" thickBot="1" x14ac:dyDescent="0.35">
      <c r="B35" s="73" t="s">
        <v>29</v>
      </c>
      <c r="C35" s="42" t="s">
        <v>117</v>
      </c>
      <c r="D35" s="42" t="s">
        <v>117</v>
      </c>
      <c r="E35" s="42" t="s">
        <v>117</v>
      </c>
      <c r="F35" s="42">
        <f>(F33/C33)^(1/3)-1</f>
        <v>0.31888520442737733</v>
      </c>
      <c r="G35" s="42" t="s">
        <v>117</v>
      </c>
      <c r="H35" s="2"/>
      <c r="I35" s="66" t="s">
        <v>31</v>
      </c>
      <c r="J35" s="67">
        <v>716.88699999999994</v>
      </c>
      <c r="K35" s="67">
        <v>663.50099999999998</v>
      </c>
      <c r="L35" s="67">
        <v>461.17</v>
      </c>
      <c r="M35" s="67">
        <v>606.05100000000004</v>
      </c>
    </row>
    <row r="36" spans="2:22" ht="16.2" thickBot="1" x14ac:dyDescent="0.35">
      <c r="B36" s="39" t="s">
        <v>30</v>
      </c>
      <c r="C36" s="41">
        <v>9.4</v>
      </c>
      <c r="D36" s="41">
        <v>20.5</v>
      </c>
      <c r="E36" s="41">
        <v>5.52</v>
      </c>
      <c r="F36" s="41">
        <v>21.09</v>
      </c>
      <c r="G36" s="41">
        <v>3.84</v>
      </c>
      <c r="H36" s="2"/>
      <c r="I36" s="5" t="s">
        <v>32</v>
      </c>
      <c r="J36" s="37">
        <f>SUM(J38:J43)+J10</f>
        <v>3170.7160000000003</v>
      </c>
      <c r="K36" s="37">
        <f>SUM(K38:K43)+K10</f>
        <v>3295.5879999999997</v>
      </c>
      <c r="L36" s="37">
        <f>SUM(L38:L43)+L10</f>
        <v>4042.9549999999999</v>
      </c>
      <c r="M36" s="37">
        <f>SUM(M38:M43)+M10</f>
        <v>2992.2219999999998</v>
      </c>
    </row>
    <row r="37" spans="2:22" ht="16.2" thickBot="1" x14ac:dyDescent="0.35">
      <c r="B37" s="73" t="s">
        <v>4</v>
      </c>
      <c r="C37" s="42" t="s">
        <v>117</v>
      </c>
      <c r="D37" s="43">
        <f>D36/C36-1</f>
        <v>1.1808510638297873</v>
      </c>
      <c r="E37" s="43">
        <f t="shared" ref="E37:F37" si="6">E36/D36-1</f>
        <v>-0.73073170731707315</v>
      </c>
      <c r="F37" s="43">
        <f t="shared" si="6"/>
        <v>2.8206521739130439</v>
      </c>
      <c r="G37" s="84" t="s">
        <v>117</v>
      </c>
      <c r="H37" s="2"/>
      <c r="I37" s="66" t="s">
        <v>33</v>
      </c>
      <c r="J37" s="67">
        <v>0</v>
      </c>
      <c r="K37" s="67">
        <v>0</v>
      </c>
      <c r="L37" s="67">
        <v>0</v>
      </c>
      <c r="M37" s="67">
        <v>0</v>
      </c>
    </row>
    <row r="38" spans="2:22" ht="16.2" thickBot="1" x14ac:dyDescent="0.35">
      <c r="B38" s="72" t="s">
        <v>5</v>
      </c>
      <c r="C38" s="42" t="s">
        <v>117</v>
      </c>
      <c r="D38" s="42" t="s">
        <v>117</v>
      </c>
      <c r="E38" s="42" t="s">
        <v>117</v>
      </c>
      <c r="F38" s="42">
        <f>(F36/C36)^(1/3)-1</f>
        <v>0.30913040228180821</v>
      </c>
      <c r="G38" s="42" t="s">
        <v>117</v>
      </c>
      <c r="H38" s="2"/>
      <c r="I38" s="66" t="s">
        <v>34</v>
      </c>
      <c r="J38" s="67">
        <f>12.926+883.721</f>
        <v>896.64700000000005</v>
      </c>
      <c r="K38" s="67">
        <v>927.76499999999999</v>
      </c>
      <c r="L38" s="67">
        <f>0.093+1514.441</f>
        <v>1514.5340000000001</v>
      </c>
      <c r="M38" s="67">
        <f>10.148+618.555</f>
        <v>628.70299999999997</v>
      </c>
    </row>
    <row r="39" spans="2:22" ht="16.2" thickBot="1" x14ac:dyDescent="0.35">
      <c r="B39" s="9"/>
      <c r="C39" s="9"/>
      <c r="D39" s="9"/>
      <c r="E39" s="9"/>
      <c r="F39" s="9"/>
      <c r="G39" s="9"/>
      <c r="H39" s="2"/>
      <c r="I39" s="66" t="s">
        <v>116</v>
      </c>
      <c r="J39" s="67">
        <v>0</v>
      </c>
      <c r="K39" s="67">
        <v>0</v>
      </c>
      <c r="L39" s="67">
        <v>12.791</v>
      </c>
      <c r="M39" s="67">
        <v>7.0810000000000004</v>
      </c>
    </row>
    <row r="40" spans="2:22" ht="16.2" thickBot="1" x14ac:dyDescent="0.35">
      <c r="B40" s="3" t="s">
        <v>36</v>
      </c>
      <c r="C40" s="30" t="s">
        <v>94</v>
      </c>
      <c r="D40" s="30" t="s">
        <v>96</v>
      </c>
      <c r="E40" s="30" t="s">
        <v>97</v>
      </c>
      <c r="F40" s="30" t="s">
        <v>99</v>
      </c>
      <c r="H40" s="2"/>
      <c r="I40" s="66" t="s">
        <v>115</v>
      </c>
      <c r="J40" s="67">
        <v>677.27599999999995</v>
      </c>
      <c r="K40" s="67">
        <v>853.61199999999997</v>
      </c>
      <c r="L40" s="67">
        <v>898.49</v>
      </c>
      <c r="M40" s="67">
        <v>948.27200000000005</v>
      </c>
    </row>
    <row r="41" spans="2:22" ht="16.2" thickBot="1" x14ac:dyDescent="0.35">
      <c r="B41" s="75" t="s">
        <v>37</v>
      </c>
      <c r="C41" s="63">
        <v>19.670000000000002</v>
      </c>
      <c r="D41" s="63">
        <f>C46</f>
        <v>312.04200000000009</v>
      </c>
      <c r="E41" s="64">
        <v>446.42399999999998</v>
      </c>
      <c r="F41" s="64">
        <f>E46</f>
        <v>148.916</v>
      </c>
      <c r="H41" s="2"/>
      <c r="I41" s="66" t="s">
        <v>35</v>
      </c>
      <c r="J41" s="67">
        <v>706.59199999999998</v>
      </c>
      <c r="K41" s="67">
        <v>659.99400000000003</v>
      </c>
      <c r="L41" s="67">
        <v>432.87099999999998</v>
      </c>
      <c r="M41" s="67">
        <v>465.94799999999998</v>
      </c>
    </row>
    <row r="42" spans="2:22" ht="16.2" thickBot="1" x14ac:dyDescent="0.35">
      <c r="B42" s="75" t="s">
        <v>38</v>
      </c>
      <c r="C42" s="63">
        <f>20604.44/10</f>
        <v>2060.444</v>
      </c>
      <c r="D42" s="63">
        <f>18281.51/10</f>
        <v>1828.1509999999998</v>
      </c>
      <c r="E42" s="64">
        <f>862.013</f>
        <v>862.01300000000003</v>
      </c>
      <c r="F42" s="64">
        <f>14497.25/10</f>
        <v>1449.7249999999999</v>
      </c>
      <c r="H42" s="2"/>
      <c r="I42" s="66" t="s">
        <v>95</v>
      </c>
      <c r="J42" s="67">
        <v>24.341999999999999</v>
      </c>
      <c r="K42" s="67">
        <v>35.177</v>
      </c>
      <c r="L42" s="67">
        <v>32.079000000000001</v>
      </c>
      <c r="M42" s="67">
        <v>33.457999999999998</v>
      </c>
    </row>
    <row r="43" spans="2:22" ht="16.2" thickBot="1" x14ac:dyDescent="0.35">
      <c r="B43" s="75" t="s">
        <v>39</v>
      </c>
      <c r="C43" s="63">
        <f>-9398.39/10</f>
        <v>-939.83899999999994</v>
      </c>
      <c r="D43" s="63">
        <f>-5909.32/10</f>
        <v>-590.93200000000002</v>
      </c>
      <c r="E43" s="64">
        <f>-1111.518</f>
        <v>-1111.518</v>
      </c>
      <c r="F43" s="64">
        <f>-10766.44/10</f>
        <v>-1076.644</v>
      </c>
      <c r="H43" s="2"/>
      <c r="I43" s="66" t="s">
        <v>88</v>
      </c>
      <c r="J43" s="67">
        <v>17.940000000000001</v>
      </c>
      <c r="K43" s="67">
        <v>98.257999999999996</v>
      </c>
      <c r="L43" s="67">
        <v>130.53299999999999</v>
      </c>
      <c r="M43" s="67">
        <v>36.363999999999997</v>
      </c>
      <c r="U43" s="35"/>
      <c r="V43" s="36"/>
    </row>
    <row r="44" spans="2:22" ht="16.2" thickBot="1" x14ac:dyDescent="0.35">
      <c r="B44" s="75" t="s">
        <v>41</v>
      </c>
      <c r="C44" s="63">
        <f>-8282.33/10</f>
        <v>-828.23299999999995</v>
      </c>
      <c r="D44" s="63">
        <f>-11031.75/10</f>
        <v>-1103.175</v>
      </c>
      <c r="E44" s="65">
        <f>-480.03/10</f>
        <v>-48.003</v>
      </c>
      <c r="F44" s="65">
        <f>-4888.96/10</f>
        <v>-488.89600000000002</v>
      </c>
      <c r="H44" s="2"/>
      <c r="I44" s="5" t="s">
        <v>93</v>
      </c>
      <c r="J44" s="37">
        <f>J26-J36</f>
        <v>948.59400000000005</v>
      </c>
      <c r="K44" s="37">
        <f>K26-K36</f>
        <v>1134.1949999999997</v>
      </c>
      <c r="L44" s="37">
        <f>L26-L36</f>
        <v>570.24099999999999</v>
      </c>
      <c r="M44" s="37">
        <f>M26-M36</f>
        <v>698.05600000000049</v>
      </c>
    </row>
    <row r="45" spans="2:22" ht="16.2" thickBot="1" x14ac:dyDescent="0.35">
      <c r="B45" s="75" t="s">
        <v>43</v>
      </c>
      <c r="C45" s="61">
        <f>C42+C43+C44</f>
        <v>292.37200000000007</v>
      </c>
      <c r="D45" s="61">
        <f>D42+D43+D44</f>
        <v>134.04399999999987</v>
      </c>
      <c r="E45" s="61">
        <f>E42+E43+E44</f>
        <v>-297.50799999999998</v>
      </c>
      <c r="F45" s="61">
        <f t="shared" ref="F45" si="7">F42+F43+F44</f>
        <v>-115.81500000000011</v>
      </c>
      <c r="H45" s="2"/>
      <c r="I45" s="5" t="s">
        <v>89</v>
      </c>
      <c r="J45" s="37">
        <f>SUM(J46:J50)+J9</f>
        <v>4192.7890000000007</v>
      </c>
      <c r="K45" s="37">
        <f>SUM(K46:K50)+K9</f>
        <v>3603.06</v>
      </c>
      <c r="L45" s="37">
        <f>SUM(L46:L50)+L9</f>
        <v>3722.6589999999997</v>
      </c>
      <c r="M45" s="37">
        <f>SUM(M46:M50)+M9</f>
        <v>3348.8209999999999</v>
      </c>
    </row>
    <row r="46" spans="2:22" ht="16.2" thickBot="1" x14ac:dyDescent="0.35">
      <c r="B46" s="10" t="s">
        <v>45</v>
      </c>
      <c r="C46" s="11">
        <f>C41+C45</f>
        <v>312.04200000000009</v>
      </c>
      <c r="D46" s="11">
        <f t="shared" ref="D46" si="8">D41+D45</f>
        <v>446.08599999999996</v>
      </c>
      <c r="E46" s="11">
        <f>E41+E45</f>
        <v>148.916</v>
      </c>
      <c r="F46" s="11">
        <f t="shared" ref="F46" si="9">F41+F45</f>
        <v>33.100999999999885</v>
      </c>
      <c r="H46" s="2"/>
      <c r="I46" s="66" t="s">
        <v>40</v>
      </c>
      <c r="J46" s="67">
        <v>1150.6179999999999</v>
      </c>
      <c r="K46" s="67">
        <v>1268.2629999999999</v>
      </c>
      <c r="L46" s="67">
        <v>1310.3139999999999</v>
      </c>
      <c r="M46" s="67">
        <v>1117.271</v>
      </c>
    </row>
    <row r="47" spans="2:22" ht="16.2" thickBot="1" x14ac:dyDescent="0.35">
      <c r="B47" s="9"/>
      <c r="C47" s="9"/>
      <c r="D47" s="29"/>
      <c r="E47" s="29"/>
      <c r="F47" s="29"/>
      <c r="G47" s="29"/>
      <c r="H47" s="2"/>
      <c r="I47" s="66" t="s">
        <v>33</v>
      </c>
      <c r="J47" s="67">
        <v>831.87099999999998</v>
      </c>
      <c r="K47" s="67">
        <v>735.53099999999995</v>
      </c>
      <c r="L47" s="67">
        <v>819.14</v>
      </c>
      <c r="M47" s="67">
        <v>607.83600000000001</v>
      </c>
    </row>
    <row r="48" spans="2:22" ht="16.2" thickBot="1" x14ac:dyDescent="0.35">
      <c r="B48" s="5" t="s">
        <v>47</v>
      </c>
      <c r="C48" s="4" t="s">
        <v>94</v>
      </c>
      <c r="D48" s="4" t="s">
        <v>96</v>
      </c>
      <c r="E48" s="4" t="s">
        <v>97</v>
      </c>
      <c r="F48" s="4" t="s">
        <v>99</v>
      </c>
      <c r="H48" s="2"/>
      <c r="I48" s="66" t="s">
        <v>95</v>
      </c>
      <c r="J48" s="67">
        <v>73.923000000000002</v>
      </c>
      <c r="K48" s="67">
        <v>77.093999999999994</v>
      </c>
      <c r="L48" s="67">
        <v>102.953</v>
      </c>
      <c r="M48" s="67">
        <v>108.378</v>
      </c>
    </row>
    <row r="49" spans="2:15" ht="16.2" thickBot="1" x14ac:dyDescent="0.35">
      <c r="B49" s="78" t="s">
        <v>48</v>
      </c>
      <c r="C49" s="79">
        <f>C42</f>
        <v>2060.444</v>
      </c>
      <c r="D49" s="79">
        <f t="shared" ref="D49:F49" si="10">D42</f>
        <v>1828.1509999999998</v>
      </c>
      <c r="E49" s="79">
        <f t="shared" si="10"/>
        <v>862.01300000000003</v>
      </c>
      <c r="F49" s="79">
        <f t="shared" si="10"/>
        <v>1449.7249999999999</v>
      </c>
      <c r="H49" s="2"/>
      <c r="I49" s="71" t="s">
        <v>114</v>
      </c>
      <c r="J49" s="67">
        <v>0</v>
      </c>
      <c r="K49" s="67">
        <v>0</v>
      </c>
      <c r="L49" s="67">
        <v>23.202000000000002</v>
      </c>
      <c r="M49" s="67">
        <v>22.048999999999999</v>
      </c>
    </row>
    <row r="50" spans="2:15" ht="16.2" thickBot="1" x14ac:dyDescent="0.35">
      <c r="B50" s="76" t="s">
        <v>50</v>
      </c>
      <c r="C50" s="77">
        <v>958.048</v>
      </c>
      <c r="D50" s="77">
        <f>(6193.8-231.42)/10</f>
        <v>596.23800000000006</v>
      </c>
      <c r="E50" s="77">
        <v>1145.5429999999999</v>
      </c>
      <c r="F50" s="77">
        <v>1081.0170000000001</v>
      </c>
      <c r="H50" s="2"/>
      <c r="I50" s="66" t="s">
        <v>90</v>
      </c>
      <c r="J50" s="67">
        <v>61.021999999999998</v>
      </c>
      <c r="K50" s="67">
        <v>62.988999999999997</v>
      </c>
      <c r="L50" s="67">
        <v>0</v>
      </c>
      <c r="M50" s="67">
        <v>0</v>
      </c>
    </row>
    <row r="51" spans="2:15" ht="16.2" thickBot="1" x14ac:dyDescent="0.35">
      <c r="B51" s="7" t="s">
        <v>52</v>
      </c>
      <c r="C51" s="8">
        <f>C49-C50</f>
        <v>1102.396</v>
      </c>
      <c r="D51" s="8">
        <f>D49-D50</f>
        <v>1231.9129999999998</v>
      </c>
      <c r="E51" s="8">
        <f>E49+E50</f>
        <v>2007.556</v>
      </c>
      <c r="F51" s="8">
        <f>F49+F50</f>
        <v>2530.7420000000002</v>
      </c>
      <c r="H51" s="2"/>
      <c r="I51" s="5" t="s">
        <v>42</v>
      </c>
      <c r="J51" s="37">
        <f>J26+J15</f>
        <v>15062.137000000002</v>
      </c>
      <c r="K51" s="37">
        <f>K26+K15</f>
        <v>15389.660999999998</v>
      </c>
      <c r="L51" s="37">
        <f>L26+L15</f>
        <v>16348.033999999996</v>
      </c>
      <c r="M51" s="37">
        <f>M26+M15</f>
        <v>15743.064</v>
      </c>
    </row>
    <row r="52" spans="2:15" ht="16.2" thickBot="1" x14ac:dyDescent="0.35">
      <c r="B52" s="9"/>
      <c r="C52" s="9"/>
      <c r="D52" s="29"/>
      <c r="E52" s="29"/>
      <c r="F52" s="29"/>
      <c r="G52" s="29"/>
      <c r="H52" s="2"/>
      <c r="I52" s="5" t="s">
        <v>44</v>
      </c>
      <c r="J52" s="37">
        <f>J45+J36+J8</f>
        <v>15062.138000000001</v>
      </c>
      <c r="K52" s="37">
        <f>K45+K36+K8</f>
        <v>15389.659</v>
      </c>
      <c r="L52" s="37">
        <f>L45+L36+L8-0.01</f>
        <v>16348.024999999998</v>
      </c>
      <c r="M52" s="37">
        <f>M45+M36+M8</f>
        <v>15743.063999999998</v>
      </c>
    </row>
    <row r="53" spans="2:15" ht="16.2" thickBot="1" x14ac:dyDescent="0.35">
      <c r="B53" s="5" t="s">
        <v>47</v>
      </c>
      <c r="C53" s="4" t="s">
        <v>94</v>
      </c>
      <c r="D53" s="4" t="s">
        <v>96</v>
      </c>
      <c r="E53" s="4" t="s">
        <v>97</v>
      </c>
      <c r="F53" s="4" t="s">
        <v>99</v>
      </c>
      <c r="G53" s="4" t="s">
        <v>118</v>
      </c>
      <c r="H53" s="2"/>
      <c r="I53" s="9"/>
      <c r="J53" s="9"/>
    </row>
    <row r="54" spans="2:15" ht="16.2" thickBot="1" x14ac:dyDescent="0.35">
      <c r="B54" s="62" t="s">
        <v>56</v>
      </c>
      <c r="C54" s="82">
        <v>45232790</v>
      </c>
      <c r="D54" s="82">
        <v>45232790</v>
      </c>
      <c r="E54" s="82">
        <v>45232790</v>
      </c>
      <c r="F54" s="82">
        <v>45232790</v>
      </c>
      <c r="G54" s="82">
        <v>45232790</v>
      </c>
      <c r="H54" s="2"/>
      <c r="I54" s="93" t="s">
        <v>46</v>
      </c>
      <c r="J54" s="94"/>
      <c r="K54" s="94"/>
      <c r="L54" s="94"/>
      <c r="M54" s="94"/>
      <c r="N54" s="95"/>
    </row>
    <row r="55" spans="2:15" ht="16.2" thickBot="1" x14ac:dyDescent="0.35">
      <c r="B55" s="62" t="s">
        <v>58</v>
      </c>
      <c r="C55" s="58">
        <f>(J56*C54)/1000000</f>
        <v>8055.9598990000004</v>
      </c>
      <c r="D55" s="58">
        <f>(K56*D54)/1000000</f>
        <v>8345.4497549999996</v>
      </c>
      <c r="E55" s="58">
        <f>(L56*E54)/1000000</f>
        <v>8248.1992565</v>
      </c>
      <c r="F55" s="58">
        <f>(M56*F54)/1000000</f>
        <v>6719.3309545000011</v>
      </c>
      <c r="G55" s="58">
        <f>(N56*G54)/1000000</f>
        <v>8709.5737145000003</v>
      </c>
      <c r="H55" s="2"/>
      <c r="I55" s="34"/>
      <c r="J55" s="4" t="s">
        <v>94</v>
      </c>
      <c r="K55" s="4" t="s">
        <v>96</v>
      </c>
      <c r="L55" s="4" t="s">
        <v>97</v>
      </c>
      <c r="M55" s="4" t="s">
        <v>99</v>
      </c>
      <c r="N55" s="4" t="s">
        <v>118</v>
      </c>
    </row>
    <row r="56" spans="2:15" ht="16.2" thickBot="1" x14ac:dyDescent="0.35">
      <c r="B56" s="62" t="s">
        <v>60</v>
      </c>
      <c r="C56" s="83">
        <f>J11</f>
        <v>2923.2740000000003</v>
      </c>
      <c r="D56" s="83">
        <f>K11</f>
        <v>2179.9650000000001</v>
      </c>
      <c r="E56" s="83">
        <f>L11</f>
        <v>2488.7069999999994</v>
      </c>
      <c r="F56" s="83">
        <f>M11</f>
        <v>2365.683</v>
      </c>
      <c r="G56" s="58">
        <v>2365.683</v>
      </c>
      <c r="H56" s="2"/>
      <c r="I56" s="12" t="s">
        <v>49</v>
      </c>
      <c r="J56" s="14">
        <v>178.1</v>
      </c>
      <c r="K56" s="14">
        <v>184.5</v>
      </c>
      <c r="L56" s="14">
        <v>182.35</v>
      </c>
      <c r="M56" s="14">
        <v>148.55000000000001</v>
      </c>
      <c r="N56" s="14">
        <v>192.55</v>
      </c>
    </row>
    <row r="57" spans="2:15" ht="16.2" thickBot="1" x14ac:dyDescent="0.35">
      <c r="B57" s="80" t="s">
        <v>62</v>
      </c>
      <c r="C57" s="81">
        <f>J30</f>
        <v>312.04199999999997</v>
      </c>
      <c r="D57" s="81">
        <f>K30</f>
        <v>446.08699999999999</v>
      </c>
      <c r="E57" s="81">
        <f>L30</f>
        <v>148.916</v>
      </c>
      <c r="F57" s="81">
        <f>M30</f>
        <v>33.100999999999999</v>
      </c>
      <c r="G57" s="81">
        <v>33.100999999999999</v>
      </c>
      <c r="H57" s="2"/>
      <c r="I57" s="6" t="s">
        <v>51</v>
      </c>
      <c r="J57" s="16">
        <f>C36</f>
        <v>9.4</v>
      </c>
      <c r="K57" s="16">
        <f t="shared" ref="K57:M57" si="11">D36</f>
        <v>20.5</v>
      </c>
      <c r="L57" s="16">
        <f t="shared" si="11"/>
        <v>5.52</v>
      </c>
      <c r="M57" s="16">
        <f t="shared" si="11"/>
        <v>21.09</v>
      </c>
      <c r="N57" s="16">
        <f>G36</f>
        <v>3.84</v>
      </c>
      <c r="O57" s="85">
        <f>M57+N57-4.48</f>
        <v>20.45</v>
      </c>
    </row>
    <row r="58" spans="2:15" ht="16.2" thickBot="1" x14ac:dyDescent="0.35">
      <c r="B58" s="10" t="s">
        <v>64</v>
      </c>
      <c r="C58" s="18">
        <f>C55+C56-C57</f>
        <v>10667.191899000001</v>
      </c>
      <c r="D58" s="18">
        <f t="shared" ref="D58" si="12">D55+D56-D57</f>
        <v>10079.327755</v>
      </c>
      <c r="E58" s="18">
        <f t="shared" ref="E58:G58" si="13">E55+E56-E57</f>
        <v>10587.990256499999</v>
      </c>
      <c r="F58" s="18">
        <f t="shared" si="13"/>
        <v>9051.9129545000014</v>
      </c>
      <c r="G58" s="87">
        <f t="shared" si="13"/>
        <v>11042.155714499999</v>
      </c>
      <c r="H58" s="2"/>
      <c r="I58" s="13" t="s">
        <v>53</v>
      </c>
      <c r="J58" s="14">
        <f>J8*1000000/C54</f>
        <v>170.20026843358545</v>
      </c>
      <c r="K58" s="14">
        <f>K8*1000000/D54</f>
        <v>187.7180470185456</v>
      </c>
      <c r="L58" s="14">
        <f>L8*1000000/E54</f>
        <v>189.73892611974628</v>
      </c>
      <c r="M58" s="14">
        <f>M8*1000000/F54</f>
        <v>207.85852475604528</v>
      </c>
      <c r="N58" s="86" t="s">
        <v>117</v>
      </c>
    </row>
    <row r="59" spans="2:15" ht="15.6" x14ac:dyDescent="0.3">
      <c r="B59" s="9"/>
      <c r="C59" s="9"/>
      <c r="D59" s="9"/>
      <c r="E59" s="9"/>
      <c r="F59" s="9"/>
      <c r="G59" s="9"/>
      <c r="H59" s="2"/>
      <c r="I59" s="15" t="s">
        <v>54</v>
      </c>
      <c r="J59" s="16">
        <v>0.4</v>
      </c>
      <c r="K59" s="16">
        <v>0.2</v>
      </c>
      <c r="L59" s="16">
        <v>0.2</v>
      </c>
      <c r="M59" s="16">
        <v>0.2</v>
      </c>
      <c r="N59" s="86" t="s">
        <v>117</v>
      </c>
    </row>
    <row r="60" spans="2:15" ht="15.6" x14ac:dyDescent="0.3">
      <c r="B60" s="9"/>
      <c r="C60" s="9"/>
      <c r="D60" s="9"/>
      <c r="E60" s="9"/>
      <c r="F60" s="9"/>
      <c r="G60" s="9"/>
      <c r="H60" s="2"/>
      <c r="I60" s="13" t="s">
        <v>55</v>
      </c>
      <c r="J60" s="16">
        <f t="shared" ref="J60" si="14">J56/J57</f>
        <v>18.946808510638295</v>
      </c>
      <c r="K60" s="16">
        <f t="shared" ref="K60:L60" si="15">K56/K57</f>
        <v>9</v>
      </c>
      <c r="L60" s="16">
        <f t="shared" si="15"/>
        <v>33.034420289855071</v>
      </c>
      <c r="M60" s="16">
        <f t="shared" ref="M60" si="16">M56/M57</f>
        <v>7.0436225699383597</v>
      </c>
      <c r="N60" s="16">
        <f>N56/O57</f>
        <v>9.4156479217603923</v>
      </c>
    </row>
    <row r="61" spans="2:15" ht="15.6" x14ac:dyDescent="0.3">
      <c r="B61" s="9"/>
      <c r="C61" s="9"/>
      <c r="D61" s="9"/>
      <c r="E61" s="9"/>
      <c r="F61" s="9"/>
      <c r="G61" s="9"/>
      <c r="H61" s="2"/>
      <c r="I61" s="13" t="s">
        <v>57</v>
      </c>
      <c r="J61" s="17">
        <f t="shared" ref="J61:M61" si="17">J56/J58</f>
        <v>1.0464143308299019</v>
      </c>
      <c r="K61" s="17">
        <f t="shared" si="17"/>
        <v>0.98285701843985374</v>
      </c>
      <c r="L61" s="17">
        <f t="shared" si="17"/>
        <v>0.96105740518904881</v>
      </c>
      <c r="M61" s="17">
        <f t="shared" si="17"/>
        <v>0.71466878817862689</v>
      </c>
      <c r="N61" s="86" t="s">
        <v>117</v>
      </c>
    </row>
    <row r="62" spans="2:15" ht="15.6" x14ac:dyDescent="0.3">
      <c r="B62" s="9"/>
      <c r="C62" s="9"/>
      <c r="D62" s="9"/>
      <c r="E62" s="9"/>
      <c r="F62" s="9"/>
      <c r="G62" s="9"/>
      <c r="H62" s="2"/>
      <c r="I62" s="13" t="s">
        <v>59</v>
      </c>
      <c r="J62" s="16">
        <f>C58/C16</f>
        <v>7.2167976444179258</v>
      </c>
      <c r="K62" s="16">
        <f>D58/D16</f>
        <v>4.8740674363500158</v>
      </c>
      <c r="L62" s="16">
        <f>E58/E16</f>
        <v>8.877887229011634</v>
      </c>
      <c r="M62" s="16">
        <f>F58/F16</f>
        <v>4.764249967894167</v>
      </c>
      <c r="N62" s="86" t="s">
        <v>117</v>
      </c>
    </row>
    <row r="63" spans="2:15" ht="15.6" x14ac:dyDescent="0.3">
      <c r="B63" s="9"/>
      <c r="C63" s="9"/>
      <c r="D63" s="9"/>
      <c r="E63" s="9"/>
      <c r="F63" s="9"/>
      <c r="G63" s="9"/>
      <c r="H63" s="2"/>
      <c r="I63" s="13" t="s">
        <v>61</v>
      </c>
      <c r="J63" s="19">
        <f>C29/J8</f>
        <v>5.7526056898672774E-2</v>
      </c>
      <c r="K63" s="19">
        <f>D29/K8</f>
        <v>0.10978515985905532</v>
      </c>
      <c r="L63" s="19">
        <f>E29/L8</f>
        <v>2.9358965261666845E-2</v>
      </c>
      <c r="M63" s="19">
        <f>F29/M8</f>
        <v>0.1014586119303497</v>
      </c>
      <c r="N63" s="86" t="s">
        <v>117</v>
      </c>
    </row>
    <row r="64" spans="2:15" ht="15.6" x14ac:dyDescent="0.3">
      <c r="B64" s="9"/>
      <c r="C64" s="9"/>
      <c r="D64" s="9"/>
      <c r="E64" s="9"/>
      <c r="F64" s="9"/>
      <c r="G64" s="9"/>
      <c r="H64" s="2"/>
      <c r="I64" s="13" t="s">
        <v>63</v>
      </c>
      <c r="J64" s="19">
        <f>(C16-C21)/J12</f>
        <v>8.295290504365245E-2</v>
      </c>
      <c r="K64" s="19">
        <f>(D16-D21)/K12</f>
        <v>0.1246323921862206</v>
      </c>
      <c r="L64" s="19">
        <f>(E16-E21)/L12</f>
        <v>5.2980151287110692E-2</v>
      </c>
      <c r="M64" s="19">
        <f>(F16-F21)/M12</f>
        <v>0.10548487699871105</v>
      </c>
      <c r="N64" s="86" t="s">
        <v>117</v>
      </c>
    </row>
    <row r="65" spans="2:14" ht="15.6" x14ac:dyDescent="0.3">
      <c r="B65" s="9"/>
      <c r="C65" s="9"/>
      <c r="D65" s="9"/>
      <c r="E65" s="9"/>
      <c r="F65" s="9"/>
      <c r="G65" s="9"/>
      <c r="H65" s="2"/>
      <c r="I65" s="13" t="s">
        <v>65</v>
      </c>
      <c r="J65" s="20">
        <f>J11/J8</f>
        <v>0.37971338548025352</v>
      </c>
      <c r="K65" s="20">
        <f>K11/K8</f>
        <v>0.25673797855167069</v>
      </c>
      <c r="L65" s="20">
        <f>L11/L8</f>
        <v>0.28997726865181744</v>
      </c>
      <c r="M65" s="20">
        <f>M11/M8</f>
        <v>0.25161430717927563</v>
      </c>
      <c r="N65" s="86" t="s">
        <v>117</v>
      </c>
    </row>
    <row r="66" spans="2:14" ht="15.6" x14ac:dyDescent="0.3">
      <c r="B66" s="9"/>
      <c r="C66" s="9"/>
      <c r="D66" s="9"/>
      <c r="E66" s="9"/>
      <c r="F66" s="9"/>
      <c r="G66" s="9"/>
      <c r="H66" s="2"/>
      <c r="I66" s="13" t="s">
        <v>66</v>
      </c>
      <c r="J66" s="20">
        <f>(J11-J30)/J8</f>
        <v>0.33918125464611709</v>
      </c>
      <c r="K66" s="20">
        <f>(K11-K30)/K8</f>
        <v>0.20420159625279016</v>
      </c>
      <c r="L66" s="20">
        <f>(L11-L30)/L8</f>
        <v>0.27262598746903699</v>
      </c>
      <c r="M66" s="20">
        <f>(M11-M30)/M8</f>
        <v>0.24809368113515171</v>
      </c>
      <c r="N66" s="86" t="s">
        <v>117</v>
      </c>
    </row>
    <row r="67" spans="2:14" ht="15.6" x14ac:dyDescent="0.3">
      <c r="B67" s="9"/>
      <c r="C67" s="9"/>
      <c r="D67" s="9"/>
      <c r="E67" s="9"/>
      <c r="F67" s="9"/>
      <c r="G67" s="9"/>
      <c r="H67" s="2"/>
      <c r="I67" s="15" t="s">
        <v>67</v>
      </c>
      <c r="J67" s="21">
        <f t="shared" ref="J67:K67" si="18">J59/J56</f>
        <v>2.2459292532285235E-3</v>
      </c>
      <c r="K67" s="21">
        <f t="shared" si="18"/>
        <v>1.0840108401084011E-3</v>
      </c>
      <c r="L67" s="21">
        <f t="shared" ref="L67:M67" si="19">L59/L56</f>
        <v>1.0967918837400605E-3</v>
      </c>
      <c r="M67" s="21">
        <f t="shared" si="19"/>
        <v>1.3463480309660047E-3</v>
      </c>
      <c r="N67" s="86" t="s">
        <v>117</v>
      </c>
    </row>
    <row r="68" spans="2:14" ht="15.6" x14ac:dyDescent="0.3">
      <c r="B68" s="9"/>
      <c r="C68" s="9"/>
      <c r="D68" s="9"/>
      <c r="E68" s="9"/>
      <c r="F68" s="9"/>
      <c r="G68" s="9"/>
      <c r="H68" s="2"/>
      <c r="I68" s="13" t="s">
        <v>68</v>
      </c>
      <c r="J68" s="22">
        <f>(AVERAGE(J29:J29)/C5*365)</f>
        <v>32.112578909550678</v>
      </c>
      <c r="K68" s="22">
        <f>(AVERAGE(J29:K29)/D5*365)</f>
        <v>31.561626246932153</v>
      </c>
      <c r="L68" s="22">
        <f>(AVERAGE(K29:L29)/E5*365)</f>
        <v>37.298574724842538</v>
      </c>
      <c r="M68" s="22">
        <f>(AVERAGE(L29:M29)/F5*365)</f>
        <v>32.611853944815088</v>
      </c>
      <c r="N68" s="86" t="s">
        <v>117</v>
      </c>
    </row>
    <row r="69" spans="2:14" ht="15.6" x14ac:dyDescent="0.3">
      <c r="B69" s="9"/>
      <c r="C69" s="9"/>
      <c r="D69" s="9"/>
      <c r="E69" s="9"/>
      <c r="F69" s="9"/>
      <c r="G69" s="9"/>
      <c r="H69" s="2"/>
      <c r="I69" s="23" t="s">
        <v>69</v>
      </c>
      <c r="J69" s="22">
        <f>(AVERAGE(J38:J38)/C8*365)</f>
        <v>22.387825266197162</v>
      </c>
      <c r="K69" s="22">
        <f>(AVERAGE(J38:K38)/D8*365)</f>
        <v>23.176313904931192</v>
      </c>
      <c r="L69" s="22">
        <f>(AVERAGE(K38:L38)/E8*365)</f>
        <v>35.86300591210739</v>
      </c>
      <c r="M69" s="22">
        <f t="shared" ref="M69" si="20">(AVERAGE(L38:M38)/F8*365)</f>
        <v>31.746175272573918</v>
      </c>
      <c r="N69" s="86" t="s">
        <v>117</v>
      </c>
    </row>
    <row r="70" spans="2:14" ht="15.6" x14ac:dyDescent="0.3">
      <c r="B70" s="9"/>
      <c r="C70" s="9"/>
      <c r="D70" s="9"/>
      <c r="E70" s="9"/>
      <c r="F70" s="9"/>
      <c r="G70" s="9"/>
      <c r="I70" s="23" t="s">
        <v>70</v>
      </c>
      <c r="J70" s="22">
        <f>(AVERAGE(J27:J27)/C8*365)</f>
        <v>37.354622789990323</v>
      </c>
      <c r="K70" s="22">
        <f>(AVERAGE(J27:K27)/D8*365)</f>
        <v>41.489940369690373</v>
      </c>
      <c r="L70" s="22">
        <f>(AVERAGE(K27:L27)/E8*365)</f>
        <v>62.422419179823223</v>
      </c>
      <c r="M70" s="22">
        <f t="shared" ref="M70" si="21">(AVERAGE(L27:M27)/F8*365)</f>
        <v>58.68220369522367</v>
      </c>
      <c r="N70" s="86" t="s">
        <v>117</v>
      </c>
    </row>
    <row r="71" spans="2:14" ht="15.6" x14ac:dyDescent="0.3">
      <c r="B71" s="9"/>
      <c r="C71" s="9"/>
      <c r="D71" s="9"/>
      <c r="E71" s="9"/>
      <c r="F71" s="9"/>
      <c r="G71" s="9"/>
      <c r="I71" s="23" t="s">
        <v>71</v>
      </c>
      <c r="J71" s="22">
        <f t="shared" ref="J71:K71" si="22">(J68+J70-J69)</f>
        <v>47.079376433343832</v>
      </c>
      <c r="K71" s="22">
        <f t="shared" si="22"/>
        <v>49.875252711691331</v>
      </c>
      <c r="L71" s="22">
        <f t="shared" ref="L71:M71" si="23">(L68+L70-L69)</f>
        <v>63.857987992558371</v>
      </c>
      <c r="M71" s="22">
        <f t="shared" si="23"/>
        <v>59.547882367464837</v>
      </c>
      <c r="N71" s="86" t="s">
        <v>117</v>
      </c>
    </row>
    <row r="72" spans="2:14" ht="15.6" x14ac:dyDescent="0.3">
      <c r="B72" s="9"/>
      <c r="C72" s="9"/>
      <c r="D72" s="9"/>
      <c r="E72" s="9"/>
      <c r="F72" s="9"/>
      <c r="G72" s="9"/>
      <c r="I72" s="24" t="s">
        <v>92</v>
      </c>
      <c r="J72" s="22" t="e">
        <f>((AVERAGE(#REF!,J44))/C5)*365</f>
        <v>#REF!</v>
      </c>
      <c r="K72" s="22">
        <f>((AVERAGE(J44,K44))/D5)*365</f>
        <v>23.129237749917333</v>
      </c>
      <c r="L72" s="22">
        <f>((AVERAGE(K44,L44))/E5)*365</f>
        <v>22.836732699660718</v>
      </c>
      <c r="M72" s="22">
        <f>((AVERAGE(L44,M44))/F5)*365</f>
        <v>16.276404023558666</v>
      </c>
      <c r="N72" s="86" t="s">
        <v>117</v>
      </c>
    </row>
    <row r="73" spans="2:14" ht="15.6" x14ac:dyDescent="0.3">
      <c r="I73" s="13" t="s">
        <v>72</v>
      </c>
      <c r="J73" s="25">
        <f>C5/(AVERAGE(J16:J16))</f>
        <v>1.600102627049683</v>
      </c>
      <c r="K73" s="25">
        <f>D5/(AVERAGE(J16:K16))</f>
        <v>1.646546366098093</v>
      </c>
      <c r="L73" s="25">
        <f>E5/(AVERAGE(K16:L16))</f>
        <v>1.4118548166249743</v>
      </c>
      <c r="M73" s="25">
        <f>F5/(AVERAGE(L16:M16))</f>
        <v>1.3886735395417191</v>
      </c>
      <c r="N73" s="86" t="s">
        <v>117</v>
      </c>
    </row>
    <row r="74" spans="2:14" ht="15.6" x14ac:dyDescent="0.3">
      <c r="I74" s="13" t="s">
        <v>73</v>
      </c>
      <c r="J74" s="26">
        <f>C22/J11</f>
        <v>8.964708747794424E-2</v>
      </c>
      <c r="K74" s="26">
        <f>D22/K11</f>
        <v>0.10530536040716248</v>
      </c>
      <c r="L74" s="26">
        <f>E22/L11</f>
        <v>7.9793643847990162E-2</v>
      </c>
      <c r="M74" s="26">
        <f>F22/M11</f>
        <v>8.0467670435979799E-2</v>
      </c>
      <c r="N74" s="86" t="s">
        <v>117</v>
      </c>
    </row>
    <row r="75" spans="2:14" ht="15.6" x14ac:dyDescent="0.3">
      <c r="I75" s="23" t="s">
        <v>74</v>
      </c>
      <c r="J75" s="17">
        <f>C16/C22</f>
        <v>5.640269706139363</v>
      </c>
      <c r="K75" s="17">
        <f>D16/D22</f>
        <v>9.00824178217648</v>
      </c>
      <c r="L75" s="17">
        <f>E16/E22</f>
        <v>6.0056752088547363</v>
      </c>
      <c r="M75" s="17">
        <f>F16/F22</f>
        <v>9.9808574235268708</v>
      </c>
      <c r="N75" s="86" t="s">
        <v>117</v>
      </c>
    </row>
    <row r="76" spans="2:14" ht="16.2" thickBot="1" x14ac:dyDescent="0.35">
      <c r="I76" s="27" t="s">
        <v>75</v>
      </c>
      <c r="J76" s="28">
        <f>J74*(1-C26)</f>
        <v>4.3516397134358654E-2</v>
      </c>
      <c r="K76" s="28">
        <f>K74*(1-D26)</f>
        <v>6.6931048214616914E-2</v>
      </c>
      <c r="L76" s="28">
        <f>L74*(1-E26)</f>
        <v>4.8166367127804505E-2</v>
      </c>
      <c r="M76" s="28">
        <f>M74*(1-F26)</f>
        <v>7.2545100604616913E-2</v>
      </c>
      <c r="N76" s="86" t="s">
        <v>117</v>
      </c>
    </row>
  </sheetData>
  <mergeCells count="4">
    <mergeCell ref="B3:D3"/>
    <mergeCell ref="I3:L3"/>
    <mergeCell ref="B2:L2"/>
    <mergeCell ref="I54:N5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  <ignoredErrors>
    <ignoredError sqref="K36:L36 J73 K73:M73" formulaRange="1"/>
    <ignoredError sqref="K70:K71 K69 K72:M72 J68:J72 K68:M68" evalError="1" formulaRange="1"/>
    <ignoredError sqref="L70:M71 L69:M6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2024-05-09T11:00:47Z</cp:lastPrinted>
  <dcterms:created xsi:type="dcterms:W3CDTF">2022-10-27T15:35:03Z</dcterms:created>
  <dcterms:modified xsi:type="dcterms:W3CDTF">2026-08-26T06:56:01Z</dcterms:modified>
</cp:coreProperties>
</file>